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4 平成25年～\令和２年度\05 人口\"/>
    </mc:Choice>
  </mc:AlternateContent>
  <bookViews>
    <workbookView xWindow="0" yWindow="0" windowWidth="28800" windowHeight="10935" firstSheet="3" activeTab="11"/>
  </bookViews>
  <sheets>
    <sheet name="R2.4" sheetId="2" r:id="rId1"/>
    <sheet name="R2.5" sheetId="3" r:id="rId2"/>
    <sheet name="R2.6" sheetId="4" r:id="rId3"/>
    <sheet name="R2.7" sheetId="5" r:id="rId4"/>
    <sheet name="R2.8" sheetId="6" r:id="rId5"/>
    <sheet name="R2.9" sheetId="7" r:id="rId6"/>
    <sheet name="R2.10" sheetId="8" r:id="rId7"/>
    <sheet name="Ｒ2.11" sheetId="9" r:id="rId8"/>
    <sheet name="Ｒ2.12" sheetId="10" r:id="rId9"/>
    <sheet name="R3.1" sheetId="11" r:id="rId10"/>
    <sheet name="R3.2" sheetId="12" r:id="rId11"/>
    <sheet name="R3.3" sheetId="13" r:id="rId12"/>
  </sheets>
  <definedNames>
    <definedName name="_xlnm.Print_Area" localSheetId="6">'R2.10'!$A$1:$AP$42</definedName>
    <definedName name="_xlnm.Print_Area" localSheetId="7">'Ｒ2.11'!$A$1:$AP$42</definedName>
    <definedName name="_xlnm.Print_Area" localSheetId="8">'Ｒ2.12'!$A$1:$AP$38</definedName>
    <definedName name="_xlnm.Print_Area" localSheetId="0">'R2.4'!$A$1:$AQ$42</definedName>
    <definedName name="_xlnm.Print_Area" localSheetId="1">'R2.5'!$A$1:$AQ$42</definedName>
    <definedName name="_xlnm.Print_Area" localSheetId="2">'R2.6'!$A$1:$AQ$42</definedName>
    <definedName name="_xlnm.Print_Area" localSheetId="3">'R2.7'!$A$1:$AP$38</definedName>
    <definedName name="_xlnm.Print_Area" localSheetId="4">'R2.8'!$A$1:$AP$38</definedName>
    <definedName name="_xlnm.Print_Area" localSheetId="5">'R2.9'!$A$1:$AP$42</definedName>
    <definedName name="_xlnm.Print_Area" localSheetId="9">'R3.1'!$A$1:$AP$39</definedName>
    <definedName name="_xlnm.Print_Area" localSheetId="10">'R3.2'!$A$1:$AP$42</definedName>
    <definedName name="_xlnm.Print_Area" localSheetId="11">'R3.3'!$A$1:$AP$42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8" i="13" l="1"/>
  <c r="AH36" i="13"/>
  <c r="AH34" i="13"/>
  <c r="O32" i="13"/>
  <c r="AT31" i="13"/>
  <c r="AI31" i="13"/>
  <c r="AS30" i="13" s="1"/>
  <c r="AU30" i="13" s="1"/>
  <c r="AE31" i="13"/>
  <c r="AS29" i="13" s="1"/>
  <c r="AU29" i="13" s="1"/>
  <c r="AA31" i="13"/>
  <c r="E36" i="13" s="1"/>
  <c r="O31" i="13"/>
  <c r="AM30" i="13"/>
  <c r="O30" i="13"/>
  <c r="AM29" i="13"/>
  <c r="O29" i="13"/>
  <c r="AM28" i="13"/>
  <c r="O28" i="13"/>
  <c r="AM27" i="13"/>
  <c r="O27" i="13"/>
  <c r="AM26" i="13"/>
  <c r="O26" i="13"/>
  <c r="AM25" i="13"/>
  <c r="O25" i="13"/>
  <c r="AM24" i="13"/>
  <c r="O24" i="13"/>
  <c r="AM23" i="13"/>
  <c r="O23" i="13"/>
  <c r="AM22" i="13"/>
  <c r="O22" i="13"/>
  <c r="AM21" i="13"/>
  <c r="O21" i="13"/>
  <c r="AM20" i="13"/>
  <c r="O20" i="13"/>
  <c r="AM19" i="13"/>
  <c r="O19" i="13"/>
  <c r="AM18" i="13"/>
  <c r="O18" i="13"/>
  <c r="AM17" i="13"/>
  <c r="O17" i="13"/>
  <c r="AM16" i="13"/>
  <c r="O16" i="13"/>
  <c r="AM15" i="13"/>
  <c r="O15" i="13"/>
  <c r="AM14" i="13"/>
  <c r="O14" i="13"/>
  <c r="AM13" i="13"/>
  <c r="O13" i="13"/>
  <c r="AM12" i="13"/>
  <c r="O12" i="13"/>
  <c r="AM11" i="13"/>
  <c r="O11" i="13"/>
  <c r="AM10" i="13"/>
  <c r="O10" i="13"/>
  <c r="AM9" i="13"/>
  <c r="O9" i="13"/>
  <c r="AM8" i="13"/>
  <c r="O8" i="13"/>
  <c r="O36" i="13" l="1"/>
  <c r="AM31" i="13"/>
  <c r="O8" i="12"/>
  <c r="AM8" i="12"/>
  <c r="O9" i="12"/>
  <c r="AM9" i="12"/>
  <c r="O10" i="12"/>
  <c r="AM10" i="12"/>
  <c r="O11" i="12"/>
  <c r="AM11" i="12"/>
  <c r="O12" i="12"/>
  <c r="AM12" i="12"/>
  <c r="O13" i="12"/>
  <c r="AM13" i="12"/>
  <c r="O14" i="12"/>
  <c r="AM14" i="12"/>
  <c r="O15" i="12"/>
  <c r="AM15" i="12"/>
  <c r="O16" i="12"/>
  <c r="AM16" i="12"/>
  <c r="O17" i="12"/>
  <c r="AM17" i="12"/>
  <c r="O18" i="12"/>
  <c r="AM18" i="12"/>
  <c r="O19" i="12"/>
  <c r="AM19" i="12"/>
  <c r="O20" i="12"/>
  <c r="AM20" i="12"/>
  <c r="O21" i="12"/>
  <c r="AM21" i="12"/>
  <c r="O22" i="12"/>
  <c r="AM22" i="12"/>
  <c r="O23" i="12"/>
  <c r="AM23" i="12"/>
  <c r="O24" i="12"/>
  <c r="AM24" i="12"/>
  <c r="O25" i="12"/>
  <c r="AM25" i="12"/>
  <c r="O26" i="12"/>
  <c r="AM26" i="12"/>
  <c r="O27" i="12"/>
  <c r="AM27" i="12"/>
  <c r="O28" i="12"/>
  <c r="AM28" i="12"/>
  <c r="O29" i="12"/>
  <c r="AM29" i="12"/>
  <c r="AS29" i="12"/>
  <c r="AU29" i="12"/>
  <c r="O30" i="12"/>
  <c r="AM30" i="12"/>
  <c r="O31" i="12"/>
  <c r="AA31" i="12"/>
  <c r="E36" i="12" s="1"/>
  <c r="AE31" i="12"/>
  <c r="AM31" i="12" s="1"/>
  <c r="AI31" i="12"/>
  <c r="AS30" i="12" s="1"/>
  <c r="AU30" i="12" s="1"/>
  <c r="AT31" i="12"/>
  <c r="AH34" i="12" s="1"/>
  <c r="O32" i="12"/>
  <c r="O36" i="12"/>
  <c r="AH36" i="12"/>
  <c r="AH38" i="12"/>
  <c r="AS31" i="13" l="1"/>
  <c r="AU31" i="13" s="1"/>
  <c r="AH40" i="13"/>
  <c r="O34" i="13"/>
  <c r="E34" i="13"/>
  <c r="AH40" i="12"/>
  <c r="O34" i="12"/>
  <c r="AS31" i="12"/>
  <c r="AU31" i="12" s="1"/>
  <c r="E34" i="12"/>
  <c r="O8" i="11"/>
  <c r="AM8" i="11"/>
  <c r="O9" i="11"/>
  <c r="AM9" i="11"/>
  <c r="O10" i="11"/>
  <c r="AM10" i="11"/>
  <c r="O11" i="11"/>
  <c r="AM11" i="11"/>
  <c r="O12" i="11"/>
  <c r="AM12" i="11"/>
  <c r="O13" i="11"/>
  <c r="AM13" i="11"/>
  <c r="O14" i="11"/>
  <c r="AM14" i="11"/>
  <c r="O15" i="11"/>
  <c r="AM15" i="11"/>
  <c r="O16" i="11"/>
  <c r="AM16" i="11"/>
  <c r="O17" i="11"/>
  <c r="AM17" i="11"/>
  <c r="O18" i="11"/>
  <c r="AM18" i="11"/>
  <c r="O19" i="11"/>
  <c r="AM19" i="11"/>
  <c r="O20" i="11"/>
  <c r="AM20" i="11"/>
  <c r="O21" i="11"/>
  <c r="AM21" i="11"/>
  <c r="O22" i="11"/>
  <c r="AM22" i="11"/>
  <c r="O23" i="11"/>
  <c r="AM23" i="11"/>
  <c r="O24" i="11"/>
  <c r="AM24" i="11"/>
  <c r="O25" i="11"/>
  <c r="AM25" i="11"/>
  <c r="O26" i="11"/>
  <c r="AM26" i="11"/>
  <c r="O27" i="11"/>
  <c r="AM27" i="11"/>
  <c r="O28" i="11"/>
  <c r="AM28" i="11"/>
  <c r="O29" i="11"/>
  <c r="AM29" i="11"/>
  <c r="O30" i="11"/>
  <c r="AM30" i="11"/>
  <c r="O31" i="11"/>
  <c r="AA31" i="11"/>
  <c r="E36" i="11" s="1"/>
  <c r="AE31" i="11"/>
  <c r="AM31" i="11" s="1"/>
  <c r="AI31" i="11"/>
  <c r="AS30" i="11" s="1"/>
  <c r="AU30" i="11" s="1"/>
  <c r="AT31" i="11"/>
  <c r="AH34" i="11" s="1"/>
  <c r="AH40" i="11" s="1"/>
  <c r="O32" i="11"/>
  <c r="O36" i="11"/>
  <c r="AH36" i="11"/>
  <c r="AH38" i="11"/>
  <c r="O34" i="11" l="1"/>
  <c r="AS31" i="11"/>
  <c r="AU31" i="11" s="1"/>
  <c r="E34" i="11"/>
  <c r="AS29" i="11"/>
  <c r="AU29" i="11" s="1"/>
  <c r="O8" i="10"/>
  <c r="AM8" i="10"/>
  <c r="O9" i="10"/>
  <c r="AM9" i="10"/>
  <c r="O10" i="10"/>
  <c r="AM10" i="10"/>
  <c r="O11" i="10"/>
  <c r="AM11" i="10"/>
  <c r="O12" i="10"/>
  <c r="AM12" i="10"/>
  <c r="O13" i="10"/>
  <c r="AM13" i="10"/>
  <c r="O14" i="10"/>
  <c r="AM14" i="10"/>
  <c r="O15" i="10"/>
  <c r="AM15" i="10"/>
  <c r="O16" i="10"/>
  <c r="AM16" i="10"/>
  <c r="O17" i="10"/>
  <c r="AM17" i="10"/>
  <c r="O18" i="10"/>
  <c r="AM18" i="10"/>
  <c r="O19" i="10"/>
  <c r="AM19" i="10"/>
  <c r="O20" i="10"/>
  <c r="AM20" i="10"/>
  <c r="O21" i="10"/>
  <c r="AM21" i="10"/>
  <c r="O22" i="10"/>
  <c r="AM22" i="10"/>
  <c r="O23" i="10"/>
  <c r="AM23" i="10"/>
  <c r="O24" i="10"/>
  <c r="AM24" i="10"/>
  <c r="O25" i="10"/>
  <c r="AM25" i="10"/>
  <c r="O26" i="10"/>
  <c r="AM26" i="10"/>
  <c r="O27" i="10"/>
  <c r="AM27" i="10"/>
  <c r="O28" i="10"/>
  <c r="AM28" i="10"/>
  <c r="O29" i="10"/>
  <c r="AM29" i="10"/>
  <c r="AS29" i="10"/>
  <c r="AU29" i="10" s="1"/>
  <c r="O30" i="10"/>
  <c r="AM30" i="10"/>
  <c r="AS30" i="10"/>
  <c r="AU30" i="10" s="1"/>
  <c r="O31" i="10"/>
  <c r="AA31" i="10"/>
  <c r="AE31" i="10"/>
  <c r="AI31" i="10"/>
  <c r="AM31" i="10"/>
  <c r="AS31" i="10" s="1"/>
  <c r="AU31" i="10" s="1"/>
  <c r="AT31" i="10"/>
  <c r="AH34" i="10" s="1"/>
  <c r="AH40" i="10" s="1"/>
  <c r="O32" i="10"/>
  <c r="O34" i="10"/>
  <c r="E36" i="10"/>
  <c r="O36" i="10"/>
  <c r="AH36" i="10"/>
  <c r="AH38" i="10"/>
  <c r="E34" i="10" l="1"/>
  <c r="O8" i="9"/>
  <c r="AM8" i="9"/>
  <c r="O9" i="9"/>
  <c r="AM9" i="9"/>
  <c r="O10" i="9"/>
  <c r="AM10" i="9"/>
  <c r="O11" i="9"/>
  <c r="AM11" i="9"/>
  <c r="O12" i="9"/>
  <c r="AM12" i="9"/>
  <c r="O13" i="9"/>
  <c r="AM13" i="9"/>
  <c r="O14" i="9"/>
  <c r="AM14" i="9"/>
  <c r="O15" i="9"/>
  <c r="AM15" i="9"/>
  <c r="O16" i="9"/>
  <c r="AM16" i="9"/>
  <c r="O17" i="9"/>
  <c r="AM17" i="9"/>
  <c r="O18" i="9"/>
  <c r="AM18" i="9"/>
  <c r="O19" i="9"/>
  <c r="AM19" i="9"/>
  <c r="O20" i="9"/>
  <c r="AM20" i="9"/>
  <c r="O21" i="9"/>
  <c r="AM21" i="9"/>
  <c r="O22" i="9"/>
  <c r="AM22" i="9"/>
  <c r="O23" i="9"/>
  <c r="AM23" i="9"/>
  <c r="O24" i="9"/>
  <c r="AM24" i="9"/>
  <c r="O25" i="9"/>
  <c r="AM25" i="9"/>
  <c r="O26" i="9"/>
  <c r="AM26" i="9"/>
  <c r="O27" i="9"/>
  <c r="AM27" i="9"/>
  <c r="O28" i="9"/>
  <c r="AM28" i="9"/>
  <c r="O29" i="9"/>
  <c r="AM29" i="9"/>
  <c r="AS29" i="9"/>
  <c r="AU29" i="9"/>
  <c r="O30" i="9"/>
  <c r="AM30" i="9"/>
  <c r="AS30" i="9"/>
  <c r="AU30" i="9"/>
  <c r="O31" i="9"/>
  <c r="AA31" i="9"/>
  <c r="E36" i="9" s="1"/>
  <c r="AE31" i="9"/>
  <c r="AI31" i="9"/>
  <c r="AM31" i="9"/>
  <c r="E34" i="9" s="1"/>
  <c r="AS31" i="9"/>
  <c r="AT31" i="9"/>
  <c r="AH34" i="9" s="1"/>
  <c r="AH40" i="9" s="1"/>
  <c r="AU31" i="9"/>
  <c r="O32" i="9"/>
  <c r="O34" i="9"/>
  <c r="O36" i="9"/>
  <c r="AH36" i="9"/>
  <c r="AH38" i="9"/>
  <c r="O8" i="8" l="1"/>
  <c r="AM8" i="8"/>
  <c r="O9" i="8"/>
  <c r="AM9" i="8"/>
  <c r="O10" i="8"/>
  <c r="AM10" i="8"/>
  <c r="O11" i="8"/>
  <c r="AM11" i="8"/>
  <c r="O12" i="8"/>
  <c r="AM12" i="8"/>
  <c r="O13" i="8"/>
  <c r="AM13" i="8"/>
  <c r="O14" i="8"/>
  <c r="AM14" i="8"/>
  <c r="O15" i="8"/>
  <c r="AM15" i="8"/>
  <c r="O16" i="8"/>
  <c r="AM16" i="8"/>
  <c r="O17" i="8"/>
  <c r="AM17" i="8"/>
  <c r="O18" i="8"/>
  <c r="AM18" i="8"/>
  <c r="O19" i="8"/>
  <c r="AM19" i="8"/>
  <c r="O20" i="8"/>
  <c r="AM20" i="8"/>
  <c r="O21" i="8"/>
  <c r="AM21" i="8"/>
  <c r="O22" i="8"/>
  <c r="AM22" i="8"/>
  <c r="O23" i="8"/>
  <c r="AM23" i="8"/>
  <c r="O24" i="8"/>
  <c r="AM24" i="8"/>
  <c r="O25" i="8"/>
  <c r="AM25" i="8"/>
  <c r="O26" i="8"/>
  <c r="AM26" i="8"/>
  <c r="O27" i="8"/>
  <c r="AM27" i="8"/>
  <c r="O28" i="8"/>
  <c r="AM28" i="8"/>
  <c r="O29" i="8"/>
  <c r="AM29" i="8"/>
  <c r="AS29" i="8"/>
  <c r="AU29" i="8" s="1"/>
  <c r="O30" i="8"/>
  <c r="AM30" i="8"/>
  <c r="O31" i="8"/>
  <c r="AA31" i="8"/>
  <c r="AE31" i="8"/>
  <c r="AI31" i="8"/>
  <c r="AS30" i="8" s="1"/>
  <c r="AU30" i="8" s="1"/>
  <c r="AT31" i="8"/>
  <c r="AH34" i="8" s="1"/>
  <c r="O32" i="8"/>
  <c r="E36" i="8"/>
  <c r="O36" i="8"/>
  <c r="AH36" i="8"/>
  <c r="AH38" i="8"/>
  <c r="AH40" i="8" l="1"/>
  <c r="AM31" i="8"/>
  <c r="O8" i="7"/>
  <c r="AM8" i="7"/>
  <c r="O9" i="7"/>
  <c r="AM9" i="7"/>
  <c r="O10" i="7"/>
  <c r="AM10" i="7"/>
  <c r="O11" i="7"/>
  <c r="AM11" i="7"/>
  <c r="O12" i="7"/>
  <c r="AM12" i="7"/>
  <c r="O13" i="7"/>
  <c r="AM13" i="7"/>
  <c r="O14" i="7"/>
  <c r="AM14" i="7"/>
  <c r="O15" i="7"/>
  <c r="AM15" i="7"/>
  <c r="O16" i="7"/>
  <c r="AM16" i="7"/>
  <c r="O17" i="7"/>
  <c r="AM17" i="7"/>
  <c r="O18" i="7"/>
  <c r="AM18" i="7"/>
  <c r="O19" i="7"/>
  <c r="AM19" i="7"/>
  <c r="O20" i="7"/>
  <c r="AM20" i="7"/>
  <c r="O21" i="7"/>
  <c r="AM21" i="7"/>
  <c r="O22" i="7"/>
  <c r="AM22" i="7"/>
  <c r="O23" i="7"/>
  <c r="AM23" i="7"/>
  <c r="O24" i="7"/>
  <c r="AM24" i="7"/>
  <c r="O25" i="7"/>
  <c r="AM25" i="7"/>
  <c r="O26" i="7"/>
  <c r="AM26" i="7"/>
  <c r="O27" i="7"/>
  <c r="AM27" i="7"/>
  <c r="O28" i="7"/>
  <c r="AM28" i="7"/>
  <c r="O29" i="7"/>
  <c r="AM29" i="7"/>
  <c r="AS29" i="7"/>
  <c r="AU29" i="7" s="1"/>
  <c r="O30" i="7"/>
  <c r="AM30" i="7"/>
  <c r="AS30" i="7"/>
  <c r="AU30" i="7"/>
  <c r="O31" i="7"/>
  <c r="AA31" i="7"/>
  <c r="AE31" i="7"/>
  <c r="AI31" i="7"/>
  <c r="AM31" i="7"/>
  <c r="E34" i="7" s="1"/>
  <c r="AS31" i="7"/>
  <c r="AU31" i="7" s="1"/>
  <c r="AT31" i="7"/>
  <c r="AH34" i="7" s="1"/>
  <c r="AH40" i="7" s="1"/>
  <c r="O32" i="7"/>
  <c r="E36" i="7"/>
  <c r="O36" i="7"/>
  <c r="AH36" i="7"/>
  <c r="AH38" i="7"/>
  <c r="O34" i="8" l="1"/>
  <c r="AS31" i="8"/>
  <c r="AU31" i="8" s="1"/>
  <c r="E34" i="8"/>
  <c r="O34" i="7"/>
  <c r="O8" i="6"/>
  <c r="AM8" i="6"/>
  <c r="O9" i="6"/>
  <c r="AM9" i="6"/>
  <c r="O10" i="6"/>
  <c r="AM10" i="6"/>
  <c r="O11" i="6"/>
  <c r="AM11" i="6"/>
  <c r="O12" i="6"/>
  <c r="AM12" i="6"/>
  <c r="O13" i="6"/>
  <c r="AM13" i="6"/>
  <c r="O14" i="6"/>
  <c r="AM14" i="6"/>
  <c r="O15" i="6"/>
  <c r="AM15" i="6"/>
  <c r="O16" i="6"/>
  <c r="AM16" i="6"/>
  <c r="O17" i="6"/>
  <c r="AM17" i="6"/>
  <c r="O18" i="6"/>
  <c r="AM18" i="6"/>
  <c r="O19" i="6"/>
  <c r="AM19" i="6"/>
  <c r="O20" i="6"/>
  <c r="AM20" i="6"/>
  <c r="O21" i="6"/>
  <c r="AM21" i="6"/>
  <c r="O22" i="6"/>
  <c r="AM22" i="6"/>
  <c r="O23" i="6"/>
  <c r="AM23" i="6"/>
  <c r="O24" i="6"/>
  <c r="AM24" i="6"/>
  <c r="O25" i="6"/>
  <c r="AM25" i="6"/>
  <c r="O26" i="6"/>
  <c r="AM26" i="6"/>
  <c r="O27" i="6"/>
  <c r="AM27" i="6"/>
  <c r="O28" i="6"/>
  <c r="AM28" i="6"/>
  <c r="O29" i="6"/>
  <c r="AM29" i="6"/>
  <c r="O30" i="6"/>
  <c r="AM30" i="6"/>
  <c r="O31" i="6"/>
  <c r="AA31" i="6"/>
  <c r="E36" i="6" s="1"/>
  <c r="AE31" i="6"/>
  <c r="AS29" i="6" s="1"/>
  <c r="AU29" i="6" s="1"/>
  <c r="AI31" i="6"/>
  <c r="AS30" i="6" s="1"/>
  <c r="AU30" i="6" s="1"/>
  <c r="AT31" i="6"/>
  <c r="AH34" i="6" s="1"/>
  <c r="O32" i="6"/>
  <c r="AH40" i="6" l="1"/>
  <c r="AM31" i="6"/>
  <c r="O36" i="6"/>
  <c r="O8" i="5"/>
  <c r="AM8" i="5"/>
  <c r="O9" i="5"/>
  <c r="AM9" i="5"/>
  <c r="O10" i="5"/>
  <c r="AM10" i="5"/>
  <c r="O11" i="5"/>
  <c r="AM11" i="5"/>
  <c r="O12" i="5"/>
  <c r="AM12" i="5"/>
  <c r="O13" i="5"/>
  <c r="AM13" i="5"/>
  <c r="O14" i="5"/>
  <c r="AM14" i="5"/>
  <c r="O15" i="5"/>
  <c r="AM15" i="5"/>
  <c r="O16" i="5"/>
  <c r="AM16" i="5"/>
  <c r="O17" i="5"/>
  <c r="AM17" i="5"/>
  <c r="O18" i="5"/>
  <c r="AM18" i="5"/>
  <c r="O19" i="5"/>
  <c r="AM19" i="5"/>
  <c r="O20" i="5"/>
  <c r="AM20" i="5"/>
  <c r="O21" i="5"/>
  <c r="AM21" i="5"/>
  <c r="O22" i="5"/>
  <c r="AM22" i="5"/>
  <c r="O23" i="5"/>
  <c r="AM23" i="5"/>
  <c r="O24" i="5"/>
  <c r="AM24" i="5"/>
  <c r="O25" i="5"/>
  <c r="AM25" i="5"/>
  <c r="O26" i="5"/>
  <c r="AM26" i="5"/>
  <c r="O27" i="5"/>
  <c r="AM27" i="5"/>
  <c r="O28" i="5"/>
  <c r="AM28" i="5"/>
  <c r="O29" i="5"/>
  <c r="AM29" i="5"/>
  <c r="O30" i="5"/>
  <c r="AM30" i="5"/>
  <c r="AS30" i="5"/>
  <c r="AU30" i="5" s="1"/>
  <c r="O31" i="5"/>
  <c r="AA31" i="5"/>
  <c r="E36" i="5" s="1"/>
  <c r="AE31" i="5"/>
  <c r="AS29" i="5" s="1"/>
  <c r="AU29" i="5" s="1"/>
  <c r="AI31" i="5"/>
  <c r="AM31" i="5"/>
  <c r="AS31" i="5" s="1"/>
  <c r="AU31" i="5" s="1"/>
  <c r="AT31" i="5"/>
  <c r="AH34" i="5" s="1"/>
  <c r="AH40" i="5" s="1"/>
  <c r="O32" i="5"/>
  <c r="O34" i="5"/>
  <c r="O36" i="5"/>
  <c r="AS31" i="6" l="1"/>
  <c r="AU31" i="6" s="1"/>
  <c r="O34" i="6"/>
  <c r="E34" i="6"/>
  <c r="E34" i="5"/>
  <c r="O8" i="4"/>
  <c r="AM8" i="4"/>
  <c r="O9" i="4"/>
  <c r="AM9" i="4"/>
  <c r="O10" i="4"/>
  <c r="AM10" i="4"/>
  <c r="O11" i="4"/>
  <c r="AM11" i="4"/>
  <c r="O12" i="4"/>
  <c r="AM12" i="4"/>
  <c r="O13" i="4"/>
  <c r="AM13" i="4"/>
  <c r="O14" i="4"/>
  <c r="AM14" i="4"/>
  <c r="O15" i="4"/>
  <c r="AM15" i="4"/>
  <c r="O16" i="4"/>
  <c r="AM16" i="4"/>
  <c r="O17" i="4"/>
  <c r="AM17" i="4"/>
  <c r="O18" i="4"/>
  <c r="AM18" i="4"/>
  <c r="O19" i="4"/>
  <c r="AM19" i="4"/>
  <c r="O20" i="4"/>
  <c r="AM20" i="4"/>
  <c r="O21" i="4"/>
  <c r="AM21" i="4"/>
  <c r="O22" i="4"/>
  <c r="AM22" i="4"/>
  <c r="O23" i="4"/>
  <c r="AM23" i="4"/>
  <c r="O24" i="4"/>
  <c r="AM24" i="4"/>
  <c r="O25" i="4"/>
  <c r="AM25" i="4"/>
  <c r="O26" i="4"/>
  <c r="AM26" i="4"/>
  <c r="O27" i="4"/>
  <c r="AM27" i="4"/>
  <c r="O28" i="4"/>
  <c r="AM28" i="4"/>
  <c r="O29" i="4"/>
  <c r="AM29" i="4"/>
  <c r="O30" i="4"/>
  <c r="AM30" i="4"/>
  <c r="O31" i="4"/>
  <c r="AA31" i="4"/>
  <c r="AE31" i="4"/>
  <c r="AM31" i="4" s="1"/>
  <c r="AI31" i="4"/>
  <c r="AS30" i="4" s="1"/>
  <c r="AU30" i="4" s="1"/>
  <c r="AT31" i="4"/>
  <c r="AH34" i="4" s="1"/>
  <c r="AH40" i="4" s="1"/>
  <c r="O32" i="4"/>
  <c r="E36" i="4"/>
  <c r="O36" i="4"/>
  <c r="AH36" i="4"/>
  <c r="AH38" i="4"/>
  <c r="O34" i="4" l="1"/>
  <c r="AS31" i="4"/>
  <c r="AU31" i="4" s="1"/>
  <c r="E34" i="4"/>
  <c r="AS29" i="4"/>
  <c r="AU29" i="4" s="1"/>
  <c r="O8" i="3"/>
  <c r="AM8" i="3"/>
  <c r="O9" i="3"/>
  <c r="AM9" i="3"/>
  <c r="O10" i="3"/>
  <c r="AM10" i="3"/>
  <c r="O11" i="3"/>
  <c r="AM11" i="3"/>
  <c r="O12" i="3"/>
  <c r="AM12" i="3"/>
  <c r="O13" i="3"/>
  <c r="AM13" i="3"/>
  <c r="O14" i="3"/>
  <c r="AM14" i="3"/>
  <c r="O15" i="3"/>
  <c r="AM15" i="3"/>
  <c r="O16" i="3"/>
  <c r="AM16" i="3"/>
  <c r="O17" i="3"/>
  <c r="AM17" i="3"/>
  <c r="O18" i="3"/>
  <c r="AM18" i="3"/>
  <c r="O19" i="3"/>
  <c r="AM19" i="3"/>
  <c r="O20" i="3"/>
  <c r="AM20" i="3"/>
  <c r="O21" i="3"/>
  <c r="AM21" i="3"/>
  <c r="O22" i="3"/>
  <c r="AM22" i="3"/>
  <c r="O23" i="3"/>
  <c r="AM23" i="3"/>
  <c r="O24" i="3"/>
  <c r="AM24" i="3"/>
  <c r="O25" i="3"/>
  <c r="AM25" i="3"/>
  <c r="O26" i="3"/>
  <c r="AM26" i="3"/>
  <c r="O27" i="3"/>
  <c r="AM27" i="3"/>
  <c r="O28" i="3"/>
  <c r="AM28" i="3"/>
  <c r="O29" i="3"/>
  <c r="AM29" i="3"/>
  <c r="O30" i="3"/>
  <c r="AM30" i="3"/>
  <c r="AS30" i="3"/>
  <c r="AU30" i="3" s="1"/>
  <c r="O31" i="3"/>
  <c r="AA31" i="3"/>
  <c r="AE31" i="3"/>
  <c r="AS29" i="3" s="1"/>
  <c r="AU29" i="3" s="1"/>
  <c r="AI31" i="3"/>
  <c r="AM31" i="3"/>
  <c r="AS31" i="3" s="1"/>
  <c r="AU31" i="3" s="1"/>
  <c r="AT31" i="3"/>
  <c r="AH34" i="3" s="1"/>
  <c r="AH40" i="3" s="1"/>
  <c r="O32" i="3"/>
  <c r="E36" i="3"/>
  <c r="O36" i="3"/>
  <c r="AH36" i="3"/>
  <c r="AH38" i="3"/>
  <c r="O34" i="3" l="1"/>
  <c r="E34" i="3"/>
  <c r="O8" i="2"/>
  <c r="AM8" i="2"/>
  <c r="O9" i="2"/>
  <c r="AM9" i="2"/>
  <c r="O10" i="2"/>
  <c r="AM10" i="2"/>
  <c r="O11" i="2"/>
  <c r="AM11" i="2"/>
  <c r="O12" i="2"/>
  <c r="AM12" i="2"/>
  <c r="O13" i="2"/>
  <c r="AM13" i="2"/>
  <c r="O14" i="2"/>
  <c r="AM14" i="2"/>
  <c r="O15" i="2"/>
  <c r="AM15" i="2"/>
  <c r="O16" i="2"/>
  <c r="AM16" i="2"/>
  <c r="O17" i="2"/>
  <c r="AM17" i="2"/>
  <c r="O18" i="2"/>
  <c r="AM18" i="2"/>
  <c r="O19" i="2"/>
  <c r="AM19" i="2"/>
  <c r="O20" i="2"/>
  <c r="AM20" i="2"/>
  <c r="O21" i="2"/>
  <c r="AM21" i="2"/>
  <c r="O22" i="2"/>
  <c r="AM22" i="2"/>
  <c r="O23" i="2"/>
  <c r="AM23" i="2"/>
  <c r="O24" i="2"/>
  <c r="AM24" i="2"/>
  <c r="O25" i="2"/>
  <c r="AM25" i="2"/>
  <c r="O26" i="2"/>
  <c r="AM26" i="2"/>
  <c r="O27" i="2"/>
  <c r="AM27" i="2"/>
  <c r="O28" i="2"/>
  <c r="AM28" i="2"/>
  <c r="O29" i="2"/>
  <c r="AM29" i="2"/>
  <c r="AS29" i="2"/>
  <c r="AU29" i="2" s="1"/>
  <c r="O30" i="2"/>
  <c r="AM30" i="2"/>
  <c r="AS30" i="2"/>
  <c r="AU30" i="2"/>
  <c r="O31" i="2"/>
  <c r="AA31" i="2"/>
  <c r="E36" i="2" s="1"/>
  <c r="AE31" i="2"/>
  <c r="AI31" i="2"/>
  <c r="AM31" i="2"/>
  <c r="E34" i="2" s="1"/>
  <c r="AS31" i="2"/>
  <c r="AU31" i="2" s="1"/>
  <c r="AT31" i="2"/>
  <c r="AH34" i="2" s="1"/>
  <c r="AH40" i="2" s="1"/>
  <c r="O32" i="2"/>
  <c r="O34" i="2"/>
  <c r="AH36" i="2"/>
  <c r="AH38" i="2"/>
  <c r="O36" i="2" l="1"/>
</calcChain>
</file>

<file path=xl/sharedStrings.xml><?xml version="1.0" encoding="utf-8"?>
<sst xmlns="http://schemas.openxmlformats.org/spreadsheetml/2006/main" count="1222" uniqueCount="84">
  <si>
    <t>人</t>
    <rPh sb="0" eb="1">
      <t>ニン</t>
    </rPh>
    <phoneticPr fontId="4"/>
  </si>
  <si>
    <t>死亡者数</t>
    <rPh sb="0" eb="3">
      <t>シボウシャ</t>
    </rPh>
    <rPh sb="3" eb="4">
      <t>スウ</t>
    </rPh>
    <phoneticPr fontId="4"/>
  </si>
  <si>
    <t>出生者数</t>
    <rPh sb="0" eb="2">
      <t>シュッショウ</t>
    </rPh>
    <rPh sb="2" eb="3">
      <t>シャ</t>
    </rPh>
    <rPh sb="3" eb="4">
      <t>スウ</t>
    </rPh>
    <phoneticPr fontId="4"/>
  </si>
  <si>
    <t>％</t>
  </si>
  <si>
    <t>高齢化率</t>
    <rPh sb="0" eb="3">
      <t>コウレイカ</t>
    </rPh>
    <rPh sb="3" eb="4">
      <t>リツ</t>
    </rPh>
    <phoneticPr fontId="4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</si>
  <si>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4"/>
  </si>
  <si>
    <t>女</t>
    <rPh sb="0" eb="1">
      <t>オンナ</t>
    </rPh>
    <phoneticPr fontId="4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</si>
  <si>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4"/>
  </si>
  <si>
    <t>男</t>
    <rPh sb="0" eb="1">
      <t>オトコ</t>
    </rPh>
    <phoneticPr fontId="4"/>
  </si>
  <si>
    <t xml:space="preserve">  </t>
  </si>
  <si>
    <t>世帯</t>
    <rPh sb="0" eb="2">
      <t>セタイ</t>
    </rPh>
    <phoneticPr fontId="4"/>
  </si>
  <si>
    <t>前年より</t>
    <rPh sb="0" eb="2">
      <t>ゼンネン</t>
    </rPh>
    <phoneticPr fontId="4"/>
  </si>
  <si>
    <t>前月より</t>
    <rPh sb="0" eb="2">
      <t>ゼンゲツ</t>
    </rPh>
    <phoneticPr fontId="4"/>
  </si>
  <si>
    <t>６５歳以上人口</t>
    <rPh sb="2" eb="5">
      <t>サイイジョウ</t>
    </rPh>
    <rPh sb="5" eb="7">
      <t>ジンコウ</t>
    </rPh>
    <phoneticPr fontId="4"/>
  </si>
  <si>
    <t>福田町</t>
    <rPh sb="0" eb="3">
      <t>フクダチョウ</t>
    </rPh>
    <phoneticPr fontId="4"/>
  </si>
  <si>
    <t>計</t>
    <rPh sb="0" eb="1">
      <t>ケイ</t>
    </rPh>
    <phoneticPr fontId="4"/>
  </si>
  <si>
    <t>総　　　合　　　計</t>
    <rPh sb="0" eb="1">
      <t>ソウ</t>
    </rPh>
    <rPh sb="4" eb="5">
      <t>ゴウ</t>
    </rPh>
    <rPh sb="8" eb="9">
      <t>ケイ</t>
    </rPh>
    <phoneticPr fontId="4"/>
  </si>
  <si>
    <t>東野町</t>
    <rPh sb="0" eb="3">
      <t>ヒガシノチョウ</t>
    </rPh>
    <phoneticPr fontId="4"/>
  </si>
  <si>
    <t>忠海長浜三丁目</t>
    <rPh sb="0" eb="2">
      <t>タダノウミ</t>
    </rPh>
    <rPh sb="2" eb="4">
      <t>ナガハマ</t>
    </rPh>
    <rPh sb="4" eb="7">
      <t>サンチョウメ</t>
    </rPh>
    <phoneticPr fontId="4"/>
  </si>
  <si>
    <t>下野町</t>
    <rPh sb="0" eb="3">
      <t>シモノチョウ</t>
    </rPh>
    <phoneticPr fontId="4"/>
  </si>
  <si>
    <t>忠海長浜一丁目</t>
    <rPh sb="0" eb="2">
      <t>タダノウミ</t>
    </rPh>
    <rPh sb="2" eb="4">
      <t>ナガハマ</t>
    </rPh>
    <rPh sb="4" eb="7">
      <t>イッチョウメ</t>
    </rPh>
    <phoneticPr fontId="4"/>
  </si>
  <si>
    <t>田ノ浦三丁目</t>
    <rPh sb="0" eb="1">
      <t>タ</t>
    </rPh>
    <rPh sb="2" eb="3">
      <t>ウラ</t>
    </rPh>
    <rPh sb="3" eb="6">
      <t>サンチョウメ</t>
    </rPh>
    <phoneticPr fontId="4"/>
  </si>
  <si>
    <t>６５歳以上</t>
    <rPh sb="2" eb="5">
      <t>サイイジョウ</t>
    </rPh>
    <phoneticPr fontId="4"/>
  </si>
  <si>
    <t>総計</t>
    <rPh sb="0" eb="2">
      <t>ソウケイ</t>
    </rPh>
    <phoneticPr fontId="4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</si>
  <si>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4"/>
  </si>
  <si>
    <t>田ノ浦二丁目</t>
    <rPh sb="0" eb="1">
      <t>タ</t>
    </rPh>
    <rPh sb="2" eb="3">
      <t>ウラ</t>
    </rPh>
    <rPh sb="3" eb="6">
      <t>ニチョウメ</t>
    </rPh>
    <phoneticPr fontId="4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</si>
  <si>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4"/>
  </si>
  <si>
    <t>田ノ浦一丁目</t>
    <rPh sb="0" eb="1">
      <t>タ</t>
    </rPh>
    <rPh sb="2" eb="3">
      <t>ウラ</t>
    </rPh>
    <rPh sb="3" eb="6">
      <t>イッチョウメ</t>
    </rPh>
    <phoneticPr fontId="4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</si>
  <si>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4"/>
  </si>
  <si>
    <t>本町四丁目</t>
    <rPh sb="0" eb="2">
      <t>ホンマチ</t>
    </rPh>
    <rPh sb="2" eb="5">
      <t>ヨンチョウメ</t>
    </rPh>
    <phoneticPr fontId="4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</si>
  <si>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4"/>
  </si>
  <si>
    <t>本町三丁目</t>
    <rPh sb="0" eb="2">
      <t>ホンマチ</t>
    </rPh>
    <rPh sb="2" eb="5">
      <t>サンチョウメ</t>
    </rPh>
    <phoneticPr fontId="4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</si>
  <si>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4"/>
  </si>
  <si>
    <t>本町二丁目</t>
    <rPh sb="0" eb="2">
      <t>ホンマチ</t>
    </rPh>
    <rPh sb="2" eb="5">
      <t>ニチョウメ</t>
    </rPh>
    <phoneticPr fontId="4"/>
  </si>
  <si>
    <t>忠海床浦四丁目</t>
    <rPh sb="0" eb="2">
      <t>タダノウミ</t>
    </rPh>
    <rPh sb="2" eb="4">
      <t>トコウラ</t>
    </rPh>
    <rPh sb="4" eb="7">
      <t>ヨンチョウメ</t>
    </rPh>
    <phoneticPr fontId="4"/>
  </si>
  <si>
    <t>本町一丁目</t>
    <rPh sb="0" eb="2">
      <t>ホンマチ</t>
    </rPh>
    <rPh sb="2" eb="5">
      <t>イッチョウメ</t>
    </rPh>
    <phoneticPr fontId="4"/>
  </si>
  <si>
    <t>忠海床浦三丁目</t>
    <rPh sb="0" eb="2">
      <t>タダノウミ</t>
    </rPh>
    <rPh sb="2" eb="4">
      <t>トコウラ</t>
    </rPh>
    <rPh sb="4" eb="7">
      <t>サンチョウメ</t>
    </rPh>
    <phoneticPr fontId="4"/>
  </si>
  <si>
    <t>港町五丁目</t>
    <rPh sb="0" eb="2">
      <t>ミナトマチ</t>
    </rPh>
    <rPh sb="2" eb="5">
      <t>ゴチョウメ</t>
    </rPh>
    <phoneticPr fontId="4"/>
  </si>
  <si>
    <t>忠海床浦二丁目</t>
    <rPh sb="0" eb="2">
      <t>タダノウミ</t>
    </rPh>
    <rPh sb="2" eb="4">
      <t>トコウラ</t>
    </rPh>
    <rPh sb="4" eb="7">
      <t>ニチョウメ</t>
    </rPh>
    <phoneticPr fontId="4"/>
  </si>
  <si>
    <t>港町四丁目</t>
    <rPh sb="0" eb="2">
      <t>ミナトマチ</t>
    </rPh>
    <rPh sb="2" eb="5">
      <t>ヨンチョウメ</t>
    </rPh>
    <phoneticPr fontId="4"/>
  </si>
  <si>
    <t>忠海床浦一丁目</t>
    <rPh sb="0" eb="2">
      <t>タダノウミ</t>
    </rPh>
    <rPh sb="2" eb="4">
      <t>トコウラ</t>
    </rPh>
    <rPh sb="4" eb="7">
      <t>イッチョウメ</t>
    </rPh>
    <phoneticPr fontId="4"/>
  </si>
  <si>
    <t>港町三丁目</t>
    <rPh sb="0" eb="2">
      <t>ミナトマチ</t>
    </rPh>
    <rPh sb="2" eb="5">
      <t>サンチョウメ</t>
    </rPh>
    <phoneticPr fontId="4"/>
  </si>
  <si>
    <t>忠海中町四丁目</t>
    <rPh sb="0" eb="2">
      <t>タダノウミ</t>
    </rPh>
    <rPh sb="2" eb="4">
      <t>ナカマチ</t>
    </rPh>
    <rPh sb="4" eb="7">
      <t>ヨンチョウメ</t>
    </rPh>
    <phoneticPr fontId="4"/>
  </si>
  <si>
    <t>港町二丁目</t>
    <rPh sb="0" eb="2">
      <t>ミナトマチ</t>
    </rPh>
    <rPh sb="2" eb="5">
      <t>ニチョウメ</t>
    </rPh>
    <phoneticPr fontId="4"/>
  </si>
  <si>
    <t>忠海中町三丁目</t>
    <rPh sb="0" eb="2">
      <t>タダノウミ</t>
    </rPh>
    <rPh sb="2" eb="4">
      <t>ナカマチ</t>
    </rPh>
    <rPh sb="4" eb="7">
      <t>サンチョウメ</t>
    </rPh>
    <phoneticPr fontId="4"/>
  </si>
  <si>
    <t>港町一丁目</t>
    <rPh sb="0" eb="2">
      <t>ミナトマチ</t>
    </rPh>
    <rPh sb="2" eb="5">
      <t>イッチョウメ</t>
    </rPh>
    <phoneticPr fontId="4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</si>
  <si>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4"/>
  </si>
  <si>
    <t>塩町四丁目</t>
    <rPh sb="0" eb="2">
      <t>シオマチ</t>
    </rPh>
    <rPh sb="2" eb="5">
      <t>ヨンチョウメ</t>
    </rPh>
    <phoneticPr fontId="4"/>
  </si>
  <si>
    <t>忠海中町一丁目</t>
    <rPh sb="0" eb="2">
      <t>タダノウミ</t>
    </rPh>
    <rPh sb="2" eb="4">
      <t>ナカマチ</t>
    </rPh>
    <rPh sb="4" eb="7">
      <t>イッチョウメ</t>
    </rPh>
    <phoneticPr fontId="4"/>
  </si>
  <si>
    <t>塩町三丁目</t>
    <rPh sb="0" eb="2">
      <t>シオマチ</t>
    </rPh>
    <rPh sb="2" eb="5">
      <t>サンチョウメ</t>
    </rPh>
    <phoneticPr fontId="4"/>
  </si>
  <si>
    <t>忠海町</t>
    <rPh sb="0" eb="3">
      <t>タダノウミチョウ</t>
    </rPh>
    <phoneticPr fontId="4"/>
  </si>
  <si>
    <t>塩町二丁目</t>
    <rPh sb="0" eb="2">
      <t>シオマチ</t>
    </rPh>
    <rPh sb="2" eb="5">
      <t>ニチョウメ</t>
    </rPh>
    <phoneticPr fontId="4"/>
  </si>
  <si>
    <t>吉名町</t>
    <rPh sb="0" eb="3">
      <t>ヨシナチョウ</t>
    </rPh>
    <phoneticPr fontId="4"/>
  </si>
  <si>
    <t>塩町一丁目</t>
    <rPh sb="0" eb="2">
      <t>シオマチ</t>
    </rPh>
    <rPh sb="2" eb="3">
      <t>イチ</t>
    </rPh>
    <rPh sb="3" eb="5">
      <t>チョウメ</t>
    </rPh>
    <phoneticPr fontId="4"/>
  </si>
  <si>
    <t>仁賀町</t>
    <rPh sb="0" eb="3">
      <t>ニカチョウ</t>
    </rPh>
    <phoneticPr fontId="4"/>
  </si>
  <si>
    <t>中央五丁目</t>
    <rPh sb="0" eb="2">
      <t>チュウオウ</t>
    </rPh>
    <rPh sb="2" eb="3">
      <t>ゴ</t>
    </rPh>
    <rPh sb="3" eb="5">
      <t>チョウメ</t>
    </rPh>
    <phoneticPr fontId="4"/>
  </si>
  <si>
    <t>田万里町</t>
    <rPh sb="0" eb="4">
      <t>タマリチョウ</t>
    </rPh>
    <phoneticPr fontId="4"/>
  </si>
  <si>
    <t>中央四丁目</t>
    <rPh sb="0" eb="2">
      <t>チュウオウ</t>
    </rPh>
    <rPh sb="2" eb="3">
      <t>４</t>
    </rPh>
    <rPh sb="3" eb="5">
      <t>チョウメ</t>
    </rPh>
    <phoneticPr fontId="4"/>
  </si>
  <si>
    <t>西野町</t>
    <rPh sb="0" eb="3">
      <t>ニシノチョウ</t>
    </rPh>
    <phoneticPr fontId="4"/>
  </si>
  <si>
    <t>中央三丁目</t>
    <rPh sb="0" eb="2">
      <t>チュウオウ</t>
    </rPh>
    <rPh sb="2" eb="5">
      <t>サンチョウメ</t>
    </rPh>
    <phoneticPr fontId="4"/>
  </si>
  <si>
    <t>新庄町</t>
    <rPh sb="0" eb="3">
      <t>シンジョウチョウ</t>
    </rPh>
    <phoneticPr fontId="4"/>
  </si>
  <si>
    <t>中央二丁目</t>
    <rPh sb="0" eb="2">
      <t>チュウオウ</t>
    </rPh>
    <rPh sb="2" eb="3">
      <t>ニ</t>
    </rPh>
    <rPh sb="3" eb="5">
      <t>チョウメ</t>
    </rPh>
    <phoneticPr fontId="4"/>
  </si>
  <si>
    <t>小梨町</t>
    <rPh sb="0" eb="3">
      <t>オナシチョウ</t>
    </rPh>
    <phoneticPr fontId="4"/>
  </si>
  <si>
    <t>中央一丁目</t>
    <rPh sb="0" eb="2">
      <t>チュウオウ</t>
    </rPh>
    <rPh sb="2" eb="5">
      <t>イッチョウメ</t>
    </rPh>
    <phoneticPr fontId="4"/>
  </si>
  <si>
    <t>高崎町</t>
    <rPh sb="0" eb="2">
      <t>タカサキ</t>
    </rPh>
    <rPh sb="2" eb="3">
      <t>マチ</t>
    </rPh>
    <phoneticPr fontId="4"/>
  </si>
  <si>
    <t>竹原町</t>
    <rPh sb="0" eb="3">
      <t>タケハラチョウ</t>
    </rPh>
    <phoneticPr fontId="4"/>
  </si>
  <si>
    <t>世帯数</t>
    <rPh sb="0" eb="3">
      <t>セタイスウ</t>
    </rPh>
    <phoneticPr fontId="4"/>
  </si>
  <si>
    <t>大字名</t>
    <rPh sb="0" eb="2">
      <t>オオアザ</t>
    </rPh>
    <rPh sb="2" eb="3">
      <t>メイ</t>
    </rPh>
    <phoneticPr fontId="4"/>
  </si>
  <si>
    <t>現在</t>
    <rPh sb="0" eb="2">
      <t>ゲンザイ</t>
    </rPh>
    <phoneticPr fontId="4"/>
  </si>
  <si>
    <t>令和２年４月３０日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</si>
  <si>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ｋ㎡</t>
  </si>
  <si>
    <t>面積</t>
    <rPh sb="0" eb="2">
      <t>メンセキ</t>
    </rPh>
    <phoneticPr fontId="4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</si>
  <si>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4"/>
  </si>
  <si>
    <t>広島県竹原市</t>
    <rPh sb="0" eb="3">
      <t>ヒロシマケン</t>
    </rPh>
    <rPh sb="3" eb="6">
      <t>タケハラシ</t>
    </rPh>
    <phoneticPr fontId="4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</si>
  <si>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4"/>
  </si>
  <si>
    <t>令和２年5月３１日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</si>
  <si>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令和２年６月３０日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</si>
  <si>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令和2年9月30日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</si>
  <si>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令和２年１０月３１日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</si>
  <si>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令和２年１１月３０日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</si>
  <si>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令和２年１２月３１日</t>
    <rPh sb="0" eb="2">
      <t>レイワ</t>
    </rPh>
    <rPh sb="3" eb="4">
      <t>ネン</t>
    </rPh>
    <rPh sb="6" eb="7">
      <t>ガツ</t>
    </rPh>
    <rPh sb="9" eb="10">
      <t>ニチ</t>
    </rPh>
    <phoneticPr fontId="4"/>
  </si>
  <si>
    <t>令和３年１月３１日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</si>
  <si>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令和３年２月２８日</t>
    <rPh sb="0" eb="2">
      <t>レイワ</t>
    </rPh>
    <rPh sb="3" eb="4">
      <t>ネン</t>
    </rPh>
    <rPh sb="5" eb="6">
      <t>ガツ</t>
    </rPh>
    <rPh sb="8" eb="9">
      <t>ニチ</t>
    </rPh>
    <phoneticPr fontId="4"/>
  </si>
  <si>
    <t>令和３年３月３１日</t>
    <rPh sb="0" eb="2">
      <t>レイワ</t>
    </rPh>
    <rPh sb="3" eb="4">
      <t>ネン</t>
    </rPh>
    <rPh sb="5" eb="6">
      <t>ガツ</t>
    </rPh>
    <rPh sb="8" eb="9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</si>
</sst>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[$-411]ggge&quot;年&quot;m&quot;月&quot;d&quot;日&quot;;@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ＭＳ Ｐ明朝"/>
      <family val="1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明朝"/>
      <family val="1"/>
    </font>
    <font>
      <sz val="12"/>
      <name val="ＭＳ Ｐ明朝"/>
      <family val="1"/>
    </font>
    <font>
      <b/>
      <sz val="18"/>
      <name val="ＭＳ Ｐ明朝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 indent="1"/>
    </xf>
    <xf numFmtId="38" fontId="2" fillId="0" borderId="0" xfId="1" applyFont="1" applyAlignment="1">
      <alignment horizontal="left" vertical="center"/>
    </xf>
    <xf numFmtId="38" fontId="5" fillId="0" borderId="0" xfId="1" applyFont="1">
      <alignment vertical="center"/>
    </xf>
    <xf numFmtId="38" fontId="5" fillId="0" borderId="0" xfId="1" applyFont="1" applyAlignment="1">
      <alignment horizontal="center" vertical="center"/>
    </xf>
    <xf numFmtId="10" fontId="5" fillId="0" borderId="5" xfId="1" applyNumberFormat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vertical="center"/>
    </xf>
    <xf numFmtId="38" fontId="6" fillId="0" borderId="0" xfId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5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 shrinkToFit="1"/>
    </xf>
    <xf numFmtId="176" fontId="2" fillId="0" borderId="0" xfId="1" applyNumberFormat="1" applyFont="1" applyAlignment="1">
      <alignment horizontal="right" vertical="center"/>
    </xf>
    <xf numFmtId="38" fontId="2" fillId="0" borderId="0" xfId="1" applyFont="1" applyAlignment="1">
      <alignment horizontal="right" vertical="center"/>
    </xf>
    <xf numFmtId="0" fontId="2" fillId="0" borderId="0" xfId="2" applyNumberFormat="1" applyFont="1" applyAlignment="1">
      <alignment horizontal="right" vertical="center"/>
    </xf>
    <xf numFmtId="38" fontId="5" fillId="0" borderId="4" xfId="1" applyFont="1" applyBorder="1" applyAlignment="1">
      <alignment horizontal="left" vertical="center"/>
    </xf>
    <xf numFmtId="38" fontId="5" fillId="0" borderId="3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0" borderId="4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8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2" fillId="0" borderId="0" xfId="1" applyNumberFormat="1" applyFont="1" applyAlignment="1">
      <alignment horizontal="left" vertical="center"/>
    </xf>
    <xf numFmtId="38" fontId="5" fillId="0" borderId="12" xfId="1" applyFont="1" applyBorder="1" applyAlignment="1">
      <alignment horizontal="right" vertical="center"/>
    </xf>
    <xf numFmtId="38" fontId="5" fillId="0" borderId="11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2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10" xfId="1" applyFont="1" applyBorder="1" applyAlignment="1">
      <alignment horizontal="left" vertical="center"/>
    </xf>
    <xf numFmtId="38" fontId="5" fillId="0" borderId="9" xfId="1" applyFont="1" applyBorder="1" applyAlignment="1">
      <alignment horizontal="right" vertical="center"/>
    </xf>
    <xf numFmtId="38" fontId="2" fillId="0" borderId="0" xfId="1" applyFont="1" applyAlignment="1">
      <alignment horizontal="left" vertical="center"/>
    </xf>
    <xf numFmtId="38" fontId="5" fillId="0" borderId="15" xfId="1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2" fillId="0" borderId="0" xfId="1" applyFont="1" applyAlignment="1">
      <alignment horizontal="center" vertical="center"/>
    </xf>
    <xf numFmtId="40" fontId="2" fillId="0" borderId="0" xfId="1" applyNumberFormat="1" applyFont="1" applyAlignment="1">
      <alignment horizontal="right" vertical="center"/>
    </xf>
    <xf numFmtId="38" fontId="2" fillId="0" borderId="0" xfId="1" applyFont="1" applyBorder="1" applyAlignment="1">
      <alignment vertical="center"/>
    </xf>
  </cellXfs>
  <cellStyles count="3">
    <cellStyle name="パーセント 2" xfId="2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zoomScaleSheetLayoutView="100" workbookViewId="0">
      <selection activeCell="AX24" sqref="AX24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3"/>
      <c r="H3" s="3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2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2"/>
      <c r="H4" s="11"/>
      <c r="I4" s="62" t="s">
        <v>10</v>
      </c>
      <c r="J4" s="62"/>
      <c r="K4" s="62"/>
      <c r="L4" s="62">
        <v>11204</v>
      </c>
      <c r="M4" s="62"/>
      <c r="N4" s="62"/>
      <c r="O4" s="5"/>
      <c r="P4" s="5"/>
      <c r="Q4" s="86" t="s">
        <v>71</v>
      </c>
      <c r="R4" s="86"/>
      <c r="S4" s="86"/>
      <c r="T4" s="93">
        <v>118.23</v>
      </c>
      <c r="U4" s="93"/>
      <c r="V4" s="93"/>
      <c r="W4" s="93"/>
      <c r="X4" s="5" t="s">
        <v>70</v>
      </c>
      <c r="Y4" s="5"/>
      <c r="Z4" s="5"/>
      <c r="AF4" s="6"/>
      <c r="AH4" s="2"/>
      <c r="AK4" s="3"/>
      <c r="AL4" s="2"/>
      <c r="AM4" s="5"/>
      <c r="AP4" s="3"/>
    </row>
    <row r="5" spans="2:44" ht="18.75" customHeight="1" x14ac:dyDescent="0.4">
      <c r="Z5" s="2"/>
      <c r="AA5" s="2"/>
      <c r="AB5" s="2"/>
      <c r="AC5" s="2"/>
      <c r="AD5" s="77" t="s">
        <v>69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1773</v>
      </c>
      <c r="G8" s="80"/>
      <c r="H8" s="81"/>
      <c r="I8" s="79">
        <v>1798</v>
      </c>
      <c r="J8" s="80"/>
      <c r="K8" s="81"/>
      <c r="L8" s="79">
        <v>1966</v>
      </c>
      <c r="M8" s="80"/>
      <c r="N8" s="81"/>
      <c r="O8" s="79">
        <f t="shared" ref="O8:O32" si="0">I8+L8</f>
        <v>3764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475</v>
      </c>
      <c r="AB8" s="80"/>
      <c r="AC8" s="80"/>
      <c r="AD8" s="81"/>
      <c r="AE8" s="79">
        <v>505</v>
      </c>
      <c r="AF8" s="80"/>
      <c r="AG8" s="80"/>
      <c r="AH8" s="81"/>
      <c r="AI8" s="79">
        <v>548</v>
      </c>
      <c r="AJ8" s="80"/>
      <c r="AK8" s="80"/>
      <c r="AL8" s="81"/>
      <c r="AM8" s="85">
        <f t="shared" ref="AM8:AM31" si="1">AE8+AI8</f>
        <v>1053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91</v>
      </c>
      <c r="G9" s="75"/>
      <c r="H9" s="76"/>
      <c r="I9" s="74">
        <v>89</v>
      </c>
      <c r="J9" s="75"/>
      <c r="K9" s="76"/>
      <c r="L9" s="74">
        <v>69</v>
      </c>
      <c r="M9" s="75"/>
      <c r="N9" s="76"/>
      <c r="O9" s="74">
        <f t="shared" si="0"/>
        <v>158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58</v>
      </c>
      <c r="AF9" s="75"/>
      <c r="AG9" s="75"/>
      <c r="AH9" s="76"/>
      <c r="AI9" s="74">
        <v>65</v>
      </c>
      <c r="AJ9" s="75"/>
      <c r="AK9" s="75"/>
      <c r="AL9" s="76"/>
      <c r="AM9" s="70">
        <f t="shared" si="1"/>
        <v>123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218</v>
      </c>
      <c r="G10" s="75"/>
      <c r="H10" s="76"/>
      <c r="I10" s="74">
        <v>187</v>
      </c>
      <c r="J10" s="75"/>
      <c r="K10" s="76"/>
      <c r="L10" s="74">
        <v>211</v>
      </c>
      <c r="M10" s="75"/>
      <c r="N10" s="76"/>
      <c r="O10" s="74">
        <f t="shared" si="0"/>
        <v>398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274</v>
      </c>
      <c r="AB10" s="75"/>
      <c r="AC10" s="75"/>
      <c r="AD10" s="76"/>
      <c r="AE10" s="74">
        <v>258</v>
      </c>
      <c r="AF10" s="75"/>
      <c r="AG10" s="75"/>
      <c r="AH10" s="76"/>
      <c r="AI10" s="74">
        <v>297</v>
      </c>
      <c r="AJ10" s="75"/>
      <c r="AK10" s="75"/>
      <c r="AL10" s="76"/>
      <c r="AM10" s="70">
        <f t="shared" si="1"/>
        <v>555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119</v>
      </c>
      <c r="G11" s="75"/>
      <c r="H11" s="76"/>
      <c r="I11" s="74">
        <v>105</v>
      </c>
      <c r="J11" s="75"/>
      <c r="K11" s="76"/>
      <c r="L11" s="74">
        <v>124</v>
      </c>
      <c r="M11" s="75"/>
      <c r="N11" s="76"/>
      <c r="O11" s="74">
        <f t="shared" si="0"/>
        <v>229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430</v>
      </c>
      <c r="AB11" s="75"/>
      <c r="AC11" s="75"/>
      <c r="AD11" s="76"/>
      <c r="AE11" s="74">
        <v>466</v>
      </c>
      <c r="AF11" s="75"/>
      <c r="AG11" s="75"/>
      <c r="AH11" s="76"/>
      <c r="AI11" s="74">
        <v>513</v>
      </c>
      <c r="AJ11" s="75"/>
      <c r="AK11" s="75"/>
      <c r="AL11" s="76"/>
      <c r="AM11" s="70">
        <f t="shared" si="1"/>
        <v>979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154</v>
      </c>
      <c r="G12" s="75"/>
      <c r="H12" s="76"/>
      <c r="I12" s="74">
        <v>154</v>
      </c>
      <c r="J12" s="75"/>
      <c r="K12" s="76"/>
      <c r="L12" s="74">
        <v>162</v>
      </c>
      <c r="M12" s="75"/>
      <c r="N12" s="76"/>
      <c r="O12" s="74">
        <f t="shared" si="0"/>
        <v>316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173</v>
      </c>
      <c r="AB12" s="75"/>
      <c r="AC12" s="75"/>
      <c r="AD12" s="76"/>
      <c r="AE12" s="74">
        <v>162</v>
      </c>
      <c r="AF12" s="75"/>
      <c r="AG12" s="75"/>
      <c r="AH12" s="76"/>
      <c r="AI12" s="74">
        <v>186</v>
      </c>
      <c r="AJ12" s="75"/>
      <c r="AK12" s="75"/>
      <c r="AL12" s="76"/>
      <c r="AM12" s="70">
        <f t="shared" si="1"/>
        <v>348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104</v>
      </c>
      <c r="G13" s="75"/>
      <c r="H13" s="76"/>
      <c r="I13" s="74">
        <v>90</v>
      </c>
      <c r="J13" s="75"/>
      <c r="K13" s="76"/>
      <c r="L13" s="74">
        <v>92</v>
      </c>
      <c r="M13" s="75"/>
      <c r="N13" s="76"/>
      <c r="O13" s="74">
        <f t="shared" si="0"/>
        <v>182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130</v>
      </c>
      <c r="AF13" s="75"/>
      <c r="AG13" s="75"/>
      <c r="AH13" s="76"/>
      <c r="AI13" s="74">
        <v>130</v>
      </c>
      <c r="AJ13" s="75"/>
      <c r="AK13" s="75"/>
      <c r="AL13" s="76"/>
      <c r="AM13" s="70">
        <f t="shared" si="1"/>
        <v>260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1371</v>
      </c>
      <c r="AB14" s="75"/>
      <c r="AC14" s="75"/>
      <c r="AD14" s="76"/>
      <c r="AE14" s="74">
        <v>1286</v>
      </c>
      <c r="AF14" s="75"/>
      <c r="AG14" s="75"/>
      <c r="AH14" s="76"/>
      <c r="AI14" s="74">
        <v>1453</v>
      </c>
      <c r="AJ14" s="75"/>
      <c r="AK14" s="75"/>
      <c r="AL14" s="76"/>
      <c r="AM14" s="70">
        <f t="shared" si="1"/>
        <v>2739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247</v>
      </c>
      <c r="G15" s="75"/>
      <c r="H15" s="76"/>
      <c r="I15" s="74">
        <v>252</v>
      </c>
      <c r="J15" s="75"/>
      <c r="K15" s="76"/>
      <c r="L15" s="74">
        <v>289</v>
      </c>
      <c r="M15" s="75"/>
      <c r="N15" s="76"/>
      <c r="O15" s="74">
        <f t="shared" si="0"/>
        <v>541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6</v>
      </c>
      <c r="AB15" s="75"/>
      <c r="AC15" s="75"/>
      <c r="AD15" s="76"/>
      <c r="AE15" s="74">
        <v>6</v>
      </c>
      <c r="AF15" s="75"/>
      <c r="AG15" s="75"/>
      <c r="AH15" s="76"/>
      <c r="AI15" s="74">
        <v>6</v>
      </c>
      <c r="AJ15" s="75"/>
      <c r="AK15" s="75"/>
      <c r="AL15" s="76"/>
      <c r="AM15" s="70">
        <f t="shared" si="1"/>
        <v>12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237</v>
      </c>
      <c r="G16" s="75"/>
      <c r="H16" s="76"/>
      <c r="I16" s="74">
        <v>217</v>
      </c>
      <c r="J16" s="75"/>
      <c r="K16" s="76"/>
      <c r="L16" s="74">
        <v>249</v>
      </c>
      <c r="M16" s="75"/>
      <c r="N16" s="76"/>
      <c r="O16" s="74">
        <f t="shared" si="0"/>
        <v>466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43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94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118</v>
      </c>
      <c r="G17" s="75"/>
      <c r="H17" s="76"/>
      <c r="I17" s="74">
        <v>152</v>
      </c>
      <c r="J17" s="75"/>
      <c r="K17" s="76"/>
      <c r="L17" s="74">
        <v>178</v>
      </c>
      <c r="M17" s="75"/>
      <c r="N17" s="76"/>
      <c r="O17" s="74">
        <f t="shared" si="0"/>
        <v>330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247</v>
      </c>
      <c r="AB17" s="75"/>
      <c r="AC17" s="75"/>
      <c r="AD17" s="76"/>
      <c r="AE17" s="74">
        <v>225</v>
      </c>
      <c r="AF17" s="75"/>
      <c r="AG17" s="75"/>
      <c r="AH17" s="76"/>
      <c r="AI17" s="74">
        <v>257</v>
      </c>
      <c r="AJ17" s="75"/>
      <c r="AK17" s="75"/>
      <c r="AL17" s="76"/>
      <c r="AM17" s="70">
        <f t="shared" si="1"/>
        <v>482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154</v>
      </c>
      <c r="J18" s="75"/>
      <c r="K18" s="76"/>
      <c r="L18" s="74">
        <v>181</v>
      </c>
      <c r="M18" s="75"/>
      <c r="N18" s="76"/>
      <c r="O18" s="74">
        <f t="shared" si="0"/>
        <v>335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240</v>
      </c>
      <c r="AB18" s="75"/>
      <c r="AC18" s="75"/>
      <c r="AD18" s="76"/>
      <c r="AE18" s="74">
        <v>201</v>
      </c>
      <c r="AF18" s="75"/>
      <c r="AG18" s="75"/>
      <c r="AH18" s="76"/>
      <c r="AI18" s="74">
        <v>210</v>
      </c>
      <c r="AJ18" s="75"/>
      <c r="AK18" s="75"/>
      <c r="AL18" s="76"/>
      <c r="AM18" s="70">
        <f t="shared" si="1"/>
        <v>411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152</v>
      </c>
      <c r="G19" s="75"/>
      <c r="H19" s="76"/>
      <c r="I19" s="74">
        <v>137</v>
      </c>
      <c r="J19" s="75"/>
      <c r="K19" s="76"/>
      <c r="L19" s="74">
        <v>154</v>
      </c>
      <c r="M19" s="75"/>
      <c r="N19" s="76"/>
      <c r="O19" s="74">
        <f t="shared" si="0"/>
        <v>291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74</v>
      </c>
      <c r="AB19" s="75"/>
      <c r="AC19" s="75"/>
      <c r="AD19" s="76"/>
      <c r="AE19" s="74">
        <v>50</v>
      </c>
      <c r="AF19" s="75"/>
      <c r="AG19" s="75"/>
      <c r="AH19" s="76"/>
      <c r="AI19" s="74">
        <v>65</v>
      </c>
      <c r="AJ19" s="75"/>
      <c r="AK19" s="75"/>
      <c r="AL19" s="76"/>
      <c r="AM19" s="70">
        <f t="shared" si="1"/>
        <v>115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78</v>
      </c>
      <c r="G20" s="75"/>
      <c r="H20" s="76"/>
      <c r="I20" s="74">
        <v>69</v>
      </c>
      <c r="J20" s="75"/>
      <c r="K20" s="76"/>
      <c r="L20" s="74">
        <v>64</v>
      </c>
      <c r="M20" s="75"/>
      <c r="N20" s="76"/>
      <c r="O20" s="74">
        <f t="shared" si="0"/>
        <v>133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114</v>
      </c>
      <c r="AB20" s="75"/>
      <c r="AC20" s="75"/>
      <c r="AD20" s="76"/>
      <c r="AE20" s="74">
        <v>98</v>
      </c>
      <c r="AF20" s="75"/>
      <c r="AG20" s="75"/>
      <c r="AH20" s="76"/>
      <c r="AI20" s="74">
        <v>130</v>
      </c>
      <c r="AJ20" s="75"/>
      <c r="AK20" s="75"/>
      <c r="AL20" s="76"/>
      <c r="AM20" s="70">
        <f t="shared" si="1"/>
        <v>228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80</v>
      </c>
      <c r="G21" s="75"/>
      <c r="H21" s="76"/>
      <c r="I21" s="74">
        <v>49</v>
      </c>
      <c r="J21" s="75"/>
      <c r="K21" s="76"/>
      <c r="L21" s="74">
        <v>72</v>
      </c>
      <c r="M21" s="75"/>
      <c r="N21" s="76"/>
      <c r="O21" s="74">
        <f t="shared" si="0"/>
        <v>121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101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221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4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251</v>
      </c>
      <c r="AB22" s="75"/>
      <c r="AC22" s="75"/>
      <c r="AD22" s="76"/>
      <c r="AE22" s="74">
        <v>255</v>
      </c>
      <c r="AF22" s="75"/>
      <c r="AG22" s="75"/>
      <c r="AH22" s="76"/>
      <c r="AI22" s="74">
        <v>296</v>
      </c>
      <c r="AJ22" s="75"/>
      <c r="AK22" s="75"/>
      <c r="AL22" s="76"/>
      <c r="AM22" s="70">
        <f t="shared" si="1"/>
        <v>551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183</v>
      </c>
      <c r="G23" s="75"/>
      <c r="H23" s="76"/>
      <c r="I23" s="74">
        <v>164</v>
      </c>
      <c r="J23" s="75"/>
      <c r="K23" s="76"/>
      <c r="L23" s="74">
        <v>184</v>
      </c>
      <c r="M23" s="75"/>
      <c r="N23" s="76"/>
      <c r="O23" s="74">
        <f t="shared" si="0"/>
        <v>348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25</v>
      </c>
      <c r="AB23" s="75"/>
      <c r="AC23" s="75"/>
      <c r="AD23" s="76"/>
      <c r="AE23" s="74">
        <v>16</v>
      </c>
      <c r="AF23" s="75"/>
      <c r="AG23" s="75"/>
      <c r="AH23" s="76"/>
      <c r="AI23" s="74">
        <v>22</v>
      </c>
      <c r="AJ23" s="75"/>
      <c r="AK23" s="75"/>
      <c r="AL23" s="76"/>
      <c r="AM23" s="70">
        <f t="shared" si="1"/>
        <v>38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228</v>
      </c>
      <c r="G24" s="75"/>
      <c r="H24" s="76"/>
      <c r="I24" s="74">
        <v>242</v>
      </c>
      <c r="J24" s="75"/>
      <c r="K24" s="76"/>
      <c r="L24" s="74">
        <v>237</v>
      </c>
      <c r="M24" s="75"/>
      <c r="N24" s="76"/>
      <c r="O24" s="74">
        <f t="shared" si="0"/>
        <v>479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145</v>
      </c>
      <c r="AB24" s="75"/>
      <c r="AC24" s="75"/>
      <c r="AD24" s="76"/>
      <c r="AE24" s="74">
        <v>127</v>
      </c>
      <c r="AF24" s="75"/>
      <c r="AG24" s="75"/>
      <c r="AH24" s="76"/>
      <c r="AI24" s="74">
        <v>134</v>
      </c>
      <c r="AJ24" s="75"/>
      <c r="AK24" s="75"/>
      <c r="AL24" s="76"/>
      <c r="AM24" s="70">
        <f t="shared" si="1"/>
        <v>261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181</v>
      </c>
      <c r="G25" s="75"/>
      <c r="H25" s="76"/>
      <c r="I25" s="74">
        <v>161</v>
      </c>
      <c r="J25" s="75"/>
      <c r="K25" s="76"/>
      <c r="L25" s="74">
        <v>181</v>
      </c>
      <c r="M25" s="75"/>
      <c r="N25" s="76"/>
      <c r="O25" s="74">
        <f t="shared" si="0"/>
        <v>342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239</v>
      </c>
      <c r="AB25" s="75"/>
      <c r="AC25" s="75"/>
      <c r="AD25" s="76"/>
      <c r="AE25" s="74">
        <v>189</v>
      </c>
      <c r="AF25" s="75"/>
      <c r="AG25" s="75"/>
      <c r="AH25" s="76"/>
      <c r="AI25" s="74">
        <v>197</v>
      </c>
      <c r="AJ25" s="75"/>
      <c r="AK25" s="75"/>
      <c r="AL25" s="76"/>
      <c r="AM25" s="70">
        <f t="shared" si="1"/>
        <v>386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172</v>
      </c>
      <c r="G26" s="75"/>
      <c r="H26" s="76"/>
      <c r="I26" s="74">
        <v>162</v>
      </c>
      <c r="J26" s="75"/>
      <c r="K26" s="76"/>
      <c r="L26" s="74">
        <v>182</v>
      </c>
      <c r="M26" s="75"/>
      <c r="N26" s="76"/>
      <c r="O26" s="74">
        <f t="shared" si="0"/>
        <v>344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153</v>
      </c>
      <c r="AB26" s="75"/>
      <c r="AC26" s="75"/>
      <c r="AD26" s="76"/>
      <c r="AE26" s="74">
        <v>131</v>
      </c>
      <c r="AF26" s="75"/>
      <c r="AG26" s="75"/>
      <c r="AH26" s="76"/>
      <c r="AI26" s="74">
        <v>151</v>
      </c>
      <c r="AJ26" s="75"/>
      <c r="AK26" s="75"/>
      <c r="AL26" s="76"/>
      <c r="AM26" s="70">
        <f t="shared" si="1"/>
        <v>282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144</v>
      </c>
      <c r="G27" s="75"/>
      <c r="H27" s="76"/>
      <c r="I27" s="74">
        <v>130</v>
      </c>
      <c r="J27" s="75"/>
      <c r="K27" s="76"/>
      <c r="L27" s="74">
        <v>151</v>
      </c>
      <c r="M27" s="75"/>
      <c r="N27" s="76"/>
      <c r="O27" s="74">
        <f t="shared" si="0"/>
        <v>281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187</v>
      </c>
      <c r="AB27" s="75"/>
      <c r="AC27" s="75"/>
      <c r="AD27" s="76"/>
      <c r="AE27" s="74">
        <v>161</v>
      </c>
      <c r="AF27" s="75"/>
      <c r="AG27" s="75"/>
      <c r="AH27" s="76"/>
      <c r="AI27" s="74">
        <v>124</v>
      </c>
      <c r="AJ27" s="75"/>
      <c r="AK27" s="75"/>
      <c r="AL27" s="76"/>
      <c r="AM27" s="70">
        <f t="shared" si="1"/>
        <v>285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211</v>
      </c>
      <c r="AB28" s="75"/>
      <c r="AC28" s="75"/>
      <c r="AD28" s="76"/>
      <c r="AE28" s="74">
        <v>182</v>
      </c>
      <c r="AF28" s="75"/>
      <c r="AG28" s="75"/>
      <c r="AH28" s="76"/>
      <c r="AI28" s="74">
        <v>212</v>
      </c>
      <c r="AJ28" s="75"/>
      <c r="AK28" s="75"/>
      <c r="AL28" s="76"/>
      <c r="AM28" s="70">
        <f t="shared" si="1"/>
        <v>394</v>
      </c>
      <c r="AN28" s="70"/>
      <c r="AO28" s="70"/>
      <c r="AP28" s="70"/>
      <c r="AR28" s="10"/>
      <c r="AS28" s="10" t="s">
        <v>23</v>
      </c>
      <c r="AT28" s="10" t="s">
        <v>22</v>
      </c>
      <c r="AU28" s="10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85</v>
      </c>
      <c r="G29" s="75"/>
      <c r="H29" s="76"/>
      <c r="I29" s="74">
        <v>70</v>
      </c>
      <c r="J29" s="75"/>
      <c r="K29" s="76"/>
      <c r="L29" s="74">
        <v>88</v>
      </c>
      <c r="M29" s="75"/>
      <c r="N29" s="76"/>
      <c r="O29" s="74">
        <f t="shared" si="0"/>
        <v>158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214</v>
      </c>
      <c r="AB29" s="75"/>
      <c r="AC29" s="75"/>
      <c r="AD29" s="76"/>
      <c r="AE29" s="74">
        <v>221</v>
      </c>
      <c r="AF29" s="75"/>
      <c r="AG29" s="75"/>
      <c r="AH29" s="76"/>
      <c r="AI29" s="74">
        <v>160</v>
      </c>
      <c r="AJ29" s="75"/>
      <c r="AK29" s="75"/>
      <c r="AL29" s="76"/>
      <c r="AM29" s="70">
        <f t="shared" si="1"/>
        <v>381</v>
      </c>
      <c r="AN29" s="70"/>
      <c r="AO29" s="70"/>
      <c r="AP29" s="70"/>
      <c r="AR29" s="10" t="s">
        <v>8</v>
      </c>
      <c r="AS29" s="9">
        <f>AE31</f>
        <v>11882</v>
      </c>
      <c r="AT29" s="9">
        <v>4335</v>
      </c>
      <c r="AU29" s="8">
        <f>IF(OR(AS29=0,AT29=0),"",ROUNDDOWN(AT29/AS29,4))</f>
        <v>0.36480000000000001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1482</v>
      </c>
      <c r="G30" s="75"/>
      <c r="H30" s="76"/>
      <c r="I30" s="74">
        <v>1517</v>
      </c>
      <c r="J30" s="75"/>
      <c r="K30" s="76"/>
      <c r="L30" s="74">
        <v>1638</v>
      </c>
      <c r="M30" s="75"/>
      <c r="N30" s="76"/>
      <c r="O30" s="74">
        <f t="shared" si="0"/>
        <v>3155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39</v>
      </c>
      <c r="AB30" s="75"/>
      <c r="AC30" s="75"/>
      <c r="AD30" s="76"/>
      <c r="AE30" s="74">
        <v>41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10" t="s">
        <v>6</v>
      </c>
      <c r="AS30" s="9">
        <f>AI31</f>
        <v>12987</v>
      </c>
      <c r="AT30" s="9">
        <v>5833</v>
      </c>
      <c r="AU30" s="8">
        <f>IF(OR(AS30=0,AT30=0),"",ROUNDDOWN(AT30/AS30,4))</f>
        <v>0.4491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535</v>
      </c>
      <c r="G31" s="75"/>
      <c r="H31" s="76"/>
      <c r="I31" s="74">
        <v>565</v>
      </c>
      <c r="J31" s="75"/>
      <c r="K31" s="76"/>
      <c r="L31" s="74">
        <v>589</v>
      </c>
      <c r="M31" s="75"/>
      <c r="N31" s="76"/>
      <c r="O31" s="74">
        <f t="shared" si="0"/>
        <v>1154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12297</v>
      </c>
      <c r="AB31" s="75"/>
      <c r="AC31" s="75"/>
      <c r="AD31" s="76"/>
      <c r="AE31" s="74">
        <f>SUM(I8:K32,AE8:AH30)</f>
        <v>11882</v>
      </c>
      <c r="AF31" s="75"/>
      <c r="AG31" s="75"/>
      <c r="AH31" s="76"/>
      <c r="AI31" s="74">
        <f>SUM(L8:N32,AI8:AL30)</f>
        <v>12987</v>
      </c>
      <c r="AJ31" s="75"/>
      <c r="AK31" s="75"/>
      <c r="AL31" s="76"/>
      <c r="AM31" s="70">
        <f t="shared" si="1"/>
        <v>24869</v>
      </c>
      <c r="AN31" s="70"/>
      <c r="AO31" s="70"/>
      <c r="AP31" s="70"/>
      <c r="AR31" s="10" t="s">
        <v>15</v>
      </c>
      <c r="AS31" s="9">
        <f>AM31</f>
        <v>24869</v>
      </c>
      <c r="AT31" s="9">
        <f>AT29+AT30</f>
        <v>10168</v>
      </c>
      <c r="AU31" s="8">
        <f>IF(OR(AS31=0,AT31=0),"",ROUNDDOWN(AT31/AS31,4))</f>
        <v>0.4088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445</v>
      </c>
      <c r="G32" s="68"/>
      <c r="H32" s="69"/>
      <c r="I32" s="67">
        <v>422</v>
      </c>
      <c r="J32" s="68"/>
      <c r="K32" s="69"/>
      <c r="L32" s="67">
        <v>458</v>
      </c>
      <c r="M32" s="68"/>
      <c r="N32" s="69"/>
      <c r="O32" s="67">
        <f t="shared" si="0"/>
        <v>880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3" t="s">
        <v>12</v>
      </c>
      <c r="E34" s="60">
        <f>AM31-24884</f>
        <v>-15</v>
      </c>
      <c r="F34" s="60"/>
      <c r="G34" s="1" t="s">
        <v>0</v>
      </c>
      <c r="L34" s="1" t="s">
        <v>11</v>
      </c>
      <c r="O34" s="61">
        <f>AM31-25422</f>
        <v>-553</v>
      </c>
      <c r="P34" s="61"/>
      <c r="Q34" s="61"/>
      <c r="R34" s="61"/>
      <c r="S34" s="1" t="s">
        <v>0</v>
      </c>
      <c r="AG34" s="3" t="s">
        <v>13</v>
      </c>
      <c r="AH34" s="62">
        <f>AT31</f>
        <v>10168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3" t="s">
        <v>12</v>
      </c>
      <c r="E36" s="61">
        <f>AA31-12271</f>
        <v>26</v>
      </c>
      <c r="F36" s="61"/>
      <c r="G36" s="1" t="s">
        <v>10</v>
      </c>
      <c r="L36" s="1" t="s">
        <v>11</v>
      </c>
      <c r="O36" s="61">
        <f>AA31-12366</f>
        <v>-69</v>
      </c>
      <c r="P36" s="61"/>
      <c r="Q36" s="61"/>
      <c r="R36" s="61"/>
      <c r="S36" s="1" t="s">
        <v>10</v>
      </c>
      <c r="Y36" s="1" t="s">
        <v>9</v>
      </c>
      <c r="AG36" s="3" t="s">
        <v>8</v>
      </c>
      <c r="AH36" s="62">
        <f>AT29</f>
        <v>4335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3"/>
    </row>
    <row r="38" spans="3:39" ht="18.75" customHeight="1" x14ac:dyDescent="0.4">
      <c r="C38" s="5" t="s">
        <v>7</v>
      </c>
      <c r="AG38" s="3" t="s">
        <v>6</v>
      </c>
      <c r="AH38" s="62">
        <f>AT30</f>
        <v>5833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3"/>
    </row>
    <row r="40" spans="3:39" ht="18.75" customHeight="1" x14ac:dyDescent="0.4">
      <c r="C40" s="4" t="s">
        <v>5</v>
      </c>
      <c r="AG40" s="3" t="s">
        <v>4</v>
      </c>
      <c r="AH40" s="63">
        <f>IF(OR(AH34=0,AM31=0),"",ROUNDDOWN(AH34/AM31*100,2))</f>
        <v>40.880000000000003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13</v>
      </c>
      <c r="H42" s="57"/>
      <c r="I42" s="1" t="s">
        <v>0</v>
      </c>
      <c r="L42" s="1" t="s">
        <v>1</v>
      </c>
      <c r="T42" s="58">
        <v>36</v>
      </c>
      <c r="U42" s="58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83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zoomScaleNormal="100" workbookViewId="0">
      <selection activeCell="AV10" sqref="AV10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8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45"/>
      <c r="H3" s="45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48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48"/>
      <c r="H4" s="11"/>
      <c r="I4" s="62" t="s">
        <v>10</v>
      </c>
      <c r="J4" s="62"/>
      <c r="K4" s="62"/>
      <c r="L4" s="62">
        <v>11204</v>
      </c>
      <c r="M4" s="62"/>
      <c r="N4" s="62"/>
      <c r="O4" s="46"/>
      <c r="P4" s="46"/>
      <c r="Q4" s="86" t="s">
        <v>71</v>
      </c>
      <c r="R4" s="86"/>
      <c r="S4" s="86"/>
      <c r="T4" s="93">
        <v>118.23</v>
      </c>
      <c r="U4" s="93"/>
      <c r="V4" s="93"/>
      <c r="W4" s="93"/>
      <c r="X4" s="46" t="s">
        <v>70</v>
      </c>
      <c r="Y4" s="46"/>
      <c r="Z4" s="46"/>
      <c r="AF4" s="6"/>
      <c r="AH4" s="48"/>
      <c r="AK4" s="45"/>
      <c r="AL4" s="48"/>
      <c r="AM4" s="46"/>
      <c r="AP4" s="45"/>
    </row>
    <row r="5" spans="2:44" ht="18.75" customHeight="1" x14ac:dyDescent="0.4">
      <c r="Z5" s="48"/>
      <c r="AA5" s="48"/>
      <c r="AB5" s="48"/>
      <c r="AC5" s="48"/>
      <c r="AD5" s="77" t="s">
        <v>81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1787</v>
      </c>
      <c r="G8" s="80"/>
      <c r="H8" s="81"/>
      <c r="I8" s="79">
        <v>1803</v>
      </c>
      <c r="J8" s="80"/>
      <c r="K8" s="81"/>
      <c r="L8" s="79">
        <v>1964</v>
      </c>
      <c r="M8" s="80"/>
      <c r="N8" s="81"/>
      <c r="O8" s="79">
        <f t="shared" ref="O8:O32" si="0">I8+L8</f>
        <v>3767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474</v>
      </c>
      <c r="AB8" s="80"/>
      <c r="AC8" s="80"/>
      <c r="AD8" s="81"/>
      <c r="AE8" s="79">
        <v>497</v>
      </c>
      <c r="AF8" s="80"/>
      <c r="AG8" s="80"/>
      <c r="AH8" s="81"/>
      <c r="AI8" s="79">
        <v>528</v>
      </c>
      <c r="AJ8" s="80"/>
      <c r="AK8" s="80"/>
      <c r="AL8" s="81"/>
      <c r="AM8" s="85">
        <f t="shared" ref="AM8:AM31" si="1">AE8+AI8</f>
        <v>1025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93</v>
      </c>
      <c r="G9" s="75"/>
      <c r="H9" s="76"/>
      <c r="I9" s="74">
        <v>87</v>
      </c>
      <c r="J9" s="75"/>
      <c r="K9" s="76"/>
      <c r="L9" s="74">
        <v>73</v>
      </c>
      <c r="M9" s="75"/>
      <c r="N9" s="76"/>
      <c r="O9" s="74">
        <f t="shared" si="0"/>
        <v>160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57</v>
      </c>
      <c r="AF9" s="75"/>
      <c r="AG9" s="75"/>
      <c r="AH9" s="76"/>
      <c r="AI9" s="74">
        <v>64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212</v>
      </c>
      <c r="G10" s="75"/>
      <c r="H10" s="76"/>
      <c r="I10" s="74">
        <v>179</v>
      </c>
      <c r="J10" s="75"/>
      <c r="K10" s="76"/>
      <c r="L10" s="74">
        <v>201</v>
      </c>
      <c r="M10" s="75"/>
      <c r="N10" s="76"/>
      <c r="O10" s="74">
        <f t="shared" si="0"/>
        <v>380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278</v>
      </c>
      <c r="AB10" s="75"/>
      <c r="AC10" s="75"/>
      <c r="AD10" s="76"/>
      <c r="AE10" s="74">
        <v>258</v>
      </c>
      <c r="AF10" s="75"/>
      <c r="AG10" s="75"/>
      <c r="AH10" s="76"/>
      <c r="AI10" s="74">
        <v>295</v>
      </c>
      <c r="AJ10" s="75"/>
      <c r="AK10" s="75"/>
      <c r="AL10" s="76"/>
      <c r="AM10" s="70">
        <f t="shared" si="1"/>
        <v>553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120</v>
      </c>
      <c r="G11" s="75"/>
      <c r="H11" s="76"/>
      <c r="I11" s="74">
        <v>103</v>
      </c>
      <c r="J11" s="75"/>
      <c r="K11" s="76"/>
      <c r="L11" s="74">
        <v>122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424</v>
      </c>
      <c r="AB11" s="75"/>
      <c r="AC11" s="75"/>
      <c r="AD11" s="76"/>
      <c r="AE11" s="74">
        <v>464</v>
      </c>
      <c r="AF11" s="75"/>
      <c r="AG11" s="75"/>
      <c r="AH11" s="76"/>
      <c r="AI11" s="74">
        <v>501</v>
      </c>
      <c r="AJ11" s="75"/>
      <c r="AK11" s="75"/>
      <c r="AL11" s="76"/>
      <c r="AM11" s="70">
        <f t="shared" si="1"/>
        <v>965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149</v>
      </c>
      <c r="G12" s="75"/>
      <c r="H12" s="76"/>
      <c r="I12" s="74">
        <v>156</v>
      </c>
      <c r="J12" s="75"/>
      <c r="K12" s="76"/>
      <c r="L12" s="74">
        <v>159</v>
      </c>
      <c r="M12" s="75"/>
      <c r="N12" s="76"/>
      <c r="O12" s="74">
        <f t="shared" si="0"/>
        <v>315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171</v>
      </c>
      <c r="AB12" s="75"/>
      <c r="AC12" s="75"/>
      <c r="AD12" s="76"/>
      <c r="AE12" s="74">
        <v>159</v>
      </c>
      <c r="AF12" s="75"/>
      <c r="AG12" s="75"/>
      <c r="AH12" s="76"/>
      <c r="AI12" s="74">
        <v>182</v>
      </c>
      <c r="AJ12" s="75"/>
      <c r="AK12" s="75"/>
      <c r="AL12" s="76"/>
      <c r="AM12" s="70">
        <f t="shared" si="1"/>
        <v>341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107</v>
      </c>
      <c r="G13" s="75"/>
      <c r="H13" s="76"/>
      <c r="I13" s="74">
        <v>98</v>
      </c>
      <c r="J13" s="75"/>
      <c r="K13" s="76"/>
      <c r="L13" s="74">
        <v>94</v>
      </c>
      <c r="M13" s="75"/>
      <c r="N13" s="76"/>
      <c r="O13" s="74">
        <f t="shared" si="0"/>
        <v>192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131</v>
      </c>
      <c r="AB13" s="75"/>
      <c r="AC13" s="75"/>
      <c r="AD13" s="76"/>
      <c r="AE13" s="74">
        <v>125</v>
      </c>
      <c r="AF13" s="75"/>
      <c r="AG13" s="75"/>
      <c r="AH13" s="76"/>
      <c r="AI13" s="74">
        <v>131</v>
      </c>
      <c r="AJ13" s="75"/>
      <c r="AK13" s="75"/>
      <c r="AL13" s="76"/>
      <c r="AM13" s="70">
        <f t="shared" si="1"/>
        <v>256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1344</v>
      </c>
      <c r="AB14" s="75"/>
      <c r="AC14" s="75"/>
      <c r="AD14" s="76"/>
      <c r="AE14" s="74">
        <v>1265</v>
      </c>
      <c r="AF14" s="75"/>
      <c r="AG14" s="75"/>
      <c r="AH14" s="76"/>
      <c r="AI14" s="74">
        <v>1407</v>
      </c>
      <c r="AJ14" s="75"/>
      <c r="AK14" s="75"/>
      <c r="AL14" s="76"/>
      <c r="AM14" s="70">
        <f t="shared" si="1"/>
        <v>2672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244</v>
      </c>
      <c r="G15" s="75"/>
      <c r="H15" s="76"/>
      <c r="I15" s="74">
        <v>243</v>
      </c>
      <c r="J15" s="75"/>
      <c r="K15" s="76"/>
      <c r="L15" s="74">
        <v>279</v>
      </c>
      <c r="M15" s="75"/>
      <c r="N15" s="76"/>
      <c r="O15" s="74">
        <f t="shared" si="0"/>
        <v>522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10</v>
      </c>
      <c r="AB15" s="75"/>
      <c r="AC15" s="75"/>
      <c r="AD15" s="76"/>
      <c r="AE15" s="74">
        <v>7</v>
      </c>
      <c r="AF15" s="75"/>
      <c r="AG15" s="75"/>
      <c r="AH15" s="76"/>
      <c r="AI15" s="74">
        <v>9</v>
      </c>
      <c r="AJ15" s="75"/>
      <c r="AK15" s="75"/>
      <c r="AL15" s="76"/>
      <c r="AM15" s="70">
        <f t="shared" si="1"/>
        <v>16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238</v>
      </c>
      <c r="G16" s="75"/>
      <c r="H16" s="76"/>
      <c r="I16" s="74">
        <v>214</v>
      </c>
      <c r="J16" s="75"/>
      <c r="K16" s="76"/>
      <c r="L16" s="74">
        <v>250</v>
      </c>
      <c r="M16" s="75"/>
      <c r="N16" s="76"/>
      <c r="O16" s="74">
        <f t="shared" si="0"/>
        <v>464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41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92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126</v>
      </c>
      <c r="G17" s="75"/>
      <c r="H17" s="76"/>
      <c r="I17" s="74">
        <v>160</v>
      </c>
      <c r="J17" s="75"/>
      <c r="K17" s="76"/>
      <c r="L17" s="74">
        <v>189</v>
      </c>
      <c r="M17" s="75"/>
      <c r="N17" s="76"/>
      <c r="O17" s="74">
        <f t="shared" si="0"/>
        <v>349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244</v>
      </c>
      <c r="AB17" s="75"/>
      <c r="AC17" s="75"/>
      <c r="AD17" s="76"/>
      <c r="AE17" s="74">
        <v>227</v>
      </c>
      <c r="AF17" s="75"/>
      <c r="AG17" s="75"/>
      <c r="AH17" s="76"/>
      <c r="AI17" s="74">
        <v>254</v>
      </c>
      <c r="AJ17" s="75"/>
      <c r="AK17" s="75"/>
      <c r="AL17" s="76"/>
      <c r="AM17" s="70">
        <f t="shared" si="1"/>
        <v>481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148</v>
      </c>
      <c r="G18" s="75"/>
      <c r="H18" s="76"/>
      <c r="I18" s="74">
        <v>157</v>
      </c>
      <c r="J18" s="75"/>
      <c r="K18" s="76"/>
      <c r="L18" s="74">
        <v>183</v>
      </c>
      <c r="M18" s="75"/>
      <c r="N18" s="76"/>
      <c r="O18" s="74">
        <f t="shared" si="0"/>
        <v>340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234</v>
      </c>
      <c r="AB18" s="75"/>
      <c r="AC18" s="75"/>
      <c r="AD18" s="76"/>
      <c r="AE18" s="74">
        <v>196</v>
      </c>
      <c r="AF18" s="75"/>
      <c r="AG18" s="75"/>
      <c r="AH18" s="76"/>
      <c r="AI18" s="74">
        <v>204</v>
      </c>
      <c r="AJ18" s="75"/>
      <c r="AK18" s="75"/>
      <c r="AL18" s="76"/>
      <c r="AM18" s="70">
        <f t="shared" si="1"/>
        <v>400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153</v>
      </c>
      <c r="G19" s="75"/>
      <c r="H19" s="76"/>
      <c r="I19" s="74">
        <v>138</v>
      </c>
      <c r="J19" s="75"/>
      <c r="K19" s="76"/>
      <c r="L19" s="74">
        <v>150</v>
      </c>
      <c r="M19" s="75"/>
      <c r="N19" s="76"/>
      <c r="O19" s="74">
        <f t="shared" si="0"/>
        <v>288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70</v>
      </c>
      <c r="AB19" s="75"/>
      <c r="AC19" s="75"/>
      <c r="AD19" s="76"/>
      <c r="AE19" s="74">
        <v>52</v>
      </c>
      <c r="AF19" s="75"/>
      <c r="AG19" s="75"/>
      <c r="AH19" s="76"/>
      <c r="AI19" s="74">
        <v>62</v>
      </c>
      <c r="AJ19" s="75"/>
      <c r="AK19" s="75"/>
      <c r="AL19" s="76"/>
      <c r="AM19" s="70">
        <f t="shared" si="1"/>
        <v>114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74</v>
      </c>
      <c r="G20" s="75"/>
      <c r="H20" s="76"/>
      <c r="I20" s="74">
        <v>64</v>
      </c>
      <c r="J20" s="75"/>
      <c r="K20" s="76"/>
      <c r="L20" s="74">
        <v>62</v>
      </c>
      <c r="M20" s="75"/>
      <c r="N20" s="76"/>
      <c r="O20" s="74">
        <f t="shared" si="0"/>
        <v>126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97</v>
      </c>
      <c r="AF20" s="75"/>
      <c r="AG20" s="75"/>
      <c r="AH20" s="76"/>
      <c r="AI20" s="74">
        <v>128</v>
      </c>
      <c r="AJ20" s="75"/>
      <c r="AK20" s="75"/>
      <c r="AL20" s="76"/>
      <c r="AM20" s="70">
        <f t="shared" si="1"/>
        <v>225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83</v>
      </c>
      <c r="G21" s="75"/>
      <c r="H21" s="76"/>
      <c r="I21" s="74">
        <v>46</v>
      </c>
      <c r="J21" s="75"/>
      <c r="K21" s="76"/>
      <c r="L21" s="74">
        <v>74</v>
      </c>
      <c r="M21" s="75"/>
      <c r="N21" s="76"/>
      <c r="O21" s="74">
        <f t="shared" si="0"/>
        <v>120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100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220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36</v>
      </c>
      <c r="G22" s="75"/>
      <c r="H22" s="76"/>
      <c r="I22" s="74">
        <v>31</v>
      </c>
      <c r="J22" s="75"/>
      <c r="K22" s="76"/>
      <c r="L22" s="74">
        <v>33</v>
      </c>
      <c r="M22" s="75"/>
      <c r="N22" s="76"/>
      <c r="O22" s="74">
        <f t="shared" si="0"/>
        <v>64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246</v>
      </c>
      <c r="AB22" s="75"/>
      <c r="AC22" s="75"/>
      <c r="AD22" s="76"/>
      <c r="AE22" s="74">
        <v>249</v>
      </c>
      <c r="AF22" s="75"/>
      <c r="AG22" s="75"/>
      <c r="AH22" s="76"/>
      <c r="AI22" s="74">
        <v>289</v>
      </c>
      <c r="AJ22" s="75"/>
      <c r="AK22" s="75"/>
      <c r="AL22" s="76"/>
      <c r="AM22" s="70">
        <f t="shared" si="1"/>
        <v>538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178</v>
      </c>
      <c r="G23" s="75"/>
      <c r="H23" s="76"/>
      <c r="I23" s="74">
        <v>162</v>
      </c>
      <c r="J23" s="75"/>
      <c r="K23" s="76"/>
      <c r="L23" s="74">
        <v>179</v>
      </c>
      <c r="M23" s="75"/>
      <c r="N23" s="76"/>
      <c r="O23" s="74">
        <f t="shared" si="0"/>
        <v>341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16</v>
      </c>
      <c r="AB23" s="75"/>
      <c r="AC23" s="75"/>
      <c r="AD23" s="76"/>
      <c r="AE23" s="74">
        <v>9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27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222</v>
      </c>
      <c r="G24" s="75"/>
      <c r="H24" s="76"/>
      <c r="I24" s="74">
        <v>230</v>
      </c>
      <c r="J24" s="75"/>
      <c r="K24" s="76"/>
      <c r="L24" s="74">
        <v>232</v>
      </c>
      <c r="M24" s="75"/>
      <c r="N24" s="76"/>
      <c r="O24" s="74">
        <f t="shared" si="0"/>
        <v>462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141</v>
      </c>
      <c r="AB24" s="75"/>
      <c r="AC24" s="75"/>
      <c r="AD24" s="76"/>
      <c r="AE24" s="74">
        <v>124</v>
      </c>
      <c r="AF24" s="75"/>
      <c r="AG24" s="75"/>
      <c r="AH24" s="76"/>
      <c r="AI24" s="74">
        <v>130</v>
      </c>
      <c r="AJ24" s="75"/>
      <c r="AK24" s="75"/>
      <c r="AL24" s="76"/>
      <c r="AM24" s="70">
        <f t="shared" si="1"/>
        <v>254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161</v>
      </c>
      <c r="J25" s="75"/>
      <c r="K25" s="76"/>
      <c r="L25" s="74">
        <v>178</v>
      </c>
      <c r="M25" s="75"/>
      <c r="N25" s="76"/>
      <c r="O25" s="74">
        <f t="shared" si="0"/>
        <v>339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236</v>
      </c>
      <c r="AB25" s="75"/>
      <c r="AC25" s="75"/>
      <c r="AD25" s="76"/>
      <c r="AE25" s="74">
        <v>188</v>
      </c>
      <c r="AF25" s="75"/>
      <c r="AG25" s="75"/>
      <c r="AH25" s="76"/>
      <c r="AI25" s="74">
        <v>194</v>
      </c>
      <c r="AJ25" s="75"/>
      <c r="AK25" s="75"/>
      <c r="AL25" s="76"/>
      <c r="AM25" s="70">
        <f t="shared" si="1"/>
        <v>382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170</v>
      </c>
      <c r="G26" s="75"/>
      <c r="H26" s="76"/>
      <c r="I26" s="74">
        <v>161</v>
      </c>
      <c r="J26" s="75"/>
      <c r="K26" s="76"/>
      <c r="L26" s="74">
        <v>179</v>
      </c>
      <c r="M26" s="75"/>
      <c r="N26" s="76"/>
      <c r="O26" s="74">
        <f t="shared" si="0"/>
        <v>340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154</v>
      </c>
      <c r="AB26" s="75"/>
      <c r="AC26" s="75"/>
      <c r="AD26" s="76"/>
      <c r="AE26" s="74">
        <v>135</v>
      </c>
      <c r="AF26" s="75"/>
      <c r="AG26" s="75"/>
      <c r="AH26" s="76"/>
      <c r="AI26" s="74">
        <v>152</v>
      </c>
      <c r="AJ26" s="75"/>
      <c r="AK26" s="75"/>
      <c r="AL26" s="76"/>
      <c r="AM26" s="70">
        <f t="shared" si="1"/>
        <v>287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143</v>
      </c>
      <c r="G27" s="75"/>
      <c r="H27" s="76"/>
      <c r="I27" s="74">
        <v>126</v>
      </c>
      <c r="J27" s="75"/>
      <c r="K27" s="76"/>
      <c r="L27" s="74">
        <v>150</v>
      </c>
      <c r="M27" s="75"/>
      <c r="N27" s="76"/>
      <c r="O27" s="74">
        <f t="shared" si="0"/>
        <v>276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177</v>
      </c>
      <c r="AB27" s="75"/>
      <c r="AC27" s="75"/>
      <c r="AD27" s="76"/>
      <c r="AE27" s="74">
        <v>155</v>
      </c>
      <c r="AF27" s="75"/>
      <c r="AG27" s="75"/>
      <c r="AH27" s="76"/>
      <c r="AI27" s="74">
        <v>119</v>
      </c>
      <c r="AJ27" s="75"/>
      <c r="AK27" s="75"/>
      <c r="AL27" s="76"/>
      <c r="AM27" s="70">
        <f t="shared" si="1"/>
        <v>274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56</v>
      </c>
      <c r="M28" s="75"/>
      <c r="N28" s="76"/>
      <c r="O28" s="74">
        <f t="shared" si="0"/>
        <v>102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208</v>
      </c>
      <c r="AB28" s="75"/>
      <c r="AC28" s="75"/>
      <c r="AD28" s="76"/>
      <c r="AE28" s="74">
        <v>180</v>
      </c>
      <c r="AF28" s="75"/>
      <c r="AG28" s="75"/>
      <c r="AH28" s="76"/>
      <c r="AI28" s="74">
        <v>206</v>
      </c>
      <c r="AJ28" s="75"/>
      <c r="AK28" s="75"/>
      <c r="AL28" s="76"/>
      <c r="AM28" s="70">
        <f t="shared" si="1"/>
        <v>386</v>
      </c>
      <c r="AN28" s="70"/>
      <c r="AO28" s="70"/>
      <c r="AP28" s="70"/>
      <c r="AR28" s="47"/>
      <c r="AS28" s="47" t="s">
        <v>23</v>
      </c>
      <c r="AT28" s="47" t="s">
        <v>22</v>
      </c>
      <c r="AU28" s="47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83</v>
      </c>
      <c r="G29" s="75"/>
      <c r="H29" s="76"/>
      <c r="I29" s="74">
        <v>69</v>
      </c>
      <c r="J29" s="75"/>
      <c r="K29" s="76"/>
      <c r="L29" s="74">
        <v>87</v>
      </c>
      <c r="M29" s="75"/>
      <c r="N29" s="76"/>
      <c r="O29" s="74">
        <f t="shared" si="0"/>
        <v>156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205</v>
      </c>
      <c r="AB29" s="75"/>
      <c r="AC29" s="75"/>
      <c r="AD29" s="76"/>
      <c r="AE29" s="74">
        <v>204</v>
      </c>
      <c r="AF29" s="75"/>
      <c r="AG29" s="75"/>
      <c r="AH29" s="76"/>
      <c r="AI29" s="74">
        <v>156</v>
      </c>
      <c r="AJ29" s="75"/>
      <c r="AK29" s="75"/>
      <c r="AL29" s="76"/>
      <c r="AM29" s="70">
        <f t="shared" si="1"/>
        <v>360</v>
      </c>
      <c r="AN29" s="70"/>
      <c r="AO29" s="70"/>
      <c r="AP29" s="70"/>
      <c r="AR29" s="47" t="s">
        <v>8</v>
      </c>
      <c r="AS29" s="9">
        <f>AE31</f>
        <v>11697</v>
      </c>
      <c r="AT29" s="9">
        <v>4326</v>
      </c>
      <c r="AU29" s="8">
        <f>IF(OR(AS29=0,AT29=0),"",ROUNDDOWN(AT29/AS29,4))</f>
        <v>0.36980000000000002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1464</v>
      </c>
      <c r="G30" s="75"/>
      <c r="H30" s="76"/>
      <c r="I30" s="74">
        <v>1465</v>
      </c>
      <c r="J30" s="75"/>
      <c r="K30" s="76"/>
      <c r="L30" s="74">
        <v>1627</v>
      </c>
      <c r="M30" s="75"/>
      <c r="N30" s="76"/>
      <c r="O30" s="74">
        <f t="shared" si="0"/>
        <v>3092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41</v>
      </c>
      <c r="AB30" s="75"/>
      <c r="AC30" s="75"/>
      <c r="AD30" s="76"/>
      <c r="AE30" s="74">
        <v>42</v>
      </c>
      <c r="AF30" s="75"/>
      <c r="AG30" s="75"/>
      <c r="AH30" s="76"/>
      <c r="AI30" s="74">
        <v>48</v>
      </c>
      <c r="AJ30" s="75"/>
      <c r="AK30" s="75"/>
      <c r="AL30" s="76"/>
      <c r="AM30" s="70">
        <f t="shared" si="1"/>
        <v>90</v>
      </c>
      <c r="AN30" s="70"/>
      <c r="AO30" s="70"/>
      <c r="AP30" s="70"/>
      <c r="AR30" s="47" t="s">
        <v>6</v>
      </c>
      <c r="AS30" s="9">
        <f>AI31</f>
        <v>12801</v>
      </c>
      <c r="AT30" s="9">
        <v>5831</v>
      </c>
      <c r="AU30" s="8">
        <f>IF(OR(AS30=0,AT30=0),"",ROUNDDOWN(AT30/AS30,4))</f>
        <v>0.45550000000000002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555</v>
      </c>
      <c r="J31" s="75"/>
      <c r="K31" s="76"/>
      <c r="L31" s="74">
        <v>584</v>
      </c>
      <c r="M31" s="75"/>
      <c r="N31" s="76"/>
      <c r="O31" s="74">
        <f t="shared" si="0"/>
        <v>1139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12186</v>
      </c>
      <c r="AB31" s="75"/>
      <c r="AC31" s="75"/>
      <c r="AD31" s="76"/>
      <c r="AE31" s="74">
        <f>SUM(I8:K32,AE8:AH30)</f>
        <v>11697</v>
      </c>
      <c r="AF31" s="75"/>
      <c r="AG31" s="75"/>
      <c r="AH31" s="76"/>
      <c r="AI31" s="74">
        <f>SUM(L8:N32,AI8:AL30)</f>
        <v>12801</v>
      </c>
      <c r="AJ31" s="75"/>
      <c r="AK31" s="75"/>
      <c r="AL31" s="76"/>
      <c r="AM31" s="70">
        <f t="shared" si="1"/>
        <v>24498</v>
      </c>
      <c r="AN31" s="70"/>
      <c r="AO31" s="70"/>
      <c r="AP31" s="70"/>
      <c r="AR31" s="47" t="s">
        <v>15</v>
      </c>
      <c r="AS31" s="9">
        <f>AM31</f>
        <v>24498</v>
      </c>
      <c r="AT31" s="9">
        <f>AT29+AT30</f>
        <v>10157</v>
      </c>
      <c r="AU31" s="8">
        <f>IF(OR(AS31=0,AT31=0),"",ROUNDDOWN(AT31/AS31,4))</f>
        <v>0.41460000000000002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434</v>
      </c>
      <c r="G32" s="68"/>
      <c r="H32" s="69"/>
      <c r="I32" s="67">
        <v>406</v>
      </c>
      <c r="J32" s="68"/>
      <c r="K32" s="69"/>
      <c r="L32" s="67">
        <v>445</v>
      </c>
      <c r="M32" s="68"/>
      <c r="N32" s="69"/>
      <c r="O32" s="67">
        <f t="shared" si="0"/>
        <v>851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45" t="s">
        <v>12</v>
      </c>
      <c r="E34" s="60">
        <f>AM31-24538</f>
        <v>-40</v>
      </c>
      <c r="F34" s="60"/>
      <c r="G34" s="1" t="s">
        <v>0</v>
      </c>
      <c r="L34" s="1" t="s">
        <v>11</v>
      </c>
      <c r="O34" s="61">
        <f>AM31-25052</f>
        <v>-554</v>
      </c>
      <c r="P34" s="61"/>
      <c r="Q34" s="61"/>
      <c r="R34" s="61"/>
      <c r="S34" s="1" t="s">
        <v>0</v>
      </c>
      <c r="AG34" s="45" t="s">
        <v>13</v>
      </c>
      <c r="AH34" s="62">
        <f>AT31</f>
        <v>10157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45" t="s">
        <v>12</v>
      </c>
      <c r="E36" s="61">
        <f>AA31-12205</f>
        <v>-19</v>
      </c>
      <c r="F36" s="61"/>
      <c r="G36" s="1" t="s">
        <v>10</v>
      </c>
      <c r="L36" s="1" t="s">
        <v>11</v>
      </c>
      <c r="O36" s="61">
        <f>AA31-12282</f>
        <v>-96</v>
      </c>
      <c r="P36" s="61"/>
      <c r="Q36" s="61"/>
      <c r="R36" s="61"/>
      <c r="S36" s="1" t="s">
        <v>10</v>
      </c>
      <c r="Y36" s="1" t="s">
        <v>9</v>
      </c>
      <c r="AG36" s="45" t="s">
        <v>8</v>
      </c>
      <c r="AH36" s="62">
        <f>AT29</f>
        <v>4326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45"/>
    </row>
    <row r="38" spans="3:39" ht="18.75" customHeight="1" x14ac:dyDescent="0.4">
      <c r="C38" s="46" t="s">
        <v>7</v>
      </c>
      <c r="AG38" s="45" t="s">
        <v>6</v>
      </c>
      <c r="AH38" s="62">
        <f>AT30</f>
        <v>5831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45"/>
    </row>
    <row r="40" spans="3:39" ht="18.75" customHeight="1" x14ac:dyDescent="0.4">
      <c r="C40" s="4" t="s">
        <v>5</v>
      </c>
      <c r="AG40" s="45" t="s">
        <v>4</v>
      </c>
      <c r="AH40" s="63">
        <f>IF(OR(AH34=0,AM31=0),"",ROUNDDOWN(AH34/AM31*100,2))</f>
        <v>41.46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5</v>
      </c>
      <c r="H42" s="57"/>
      <c r="I42" s="1" t="s">
        <v>0</v>
      </c>
      <c r="L42" s="1" t="s">
        <v>1</v>
      </c>
      <c r="T42" s="57">
        <v>40</v>
      </c>
      <c r="U42" s="57"/>
      <c r="V42" s="1" t="s">
        <v>0</v>
      </c>
    </row>
  </sheetData>
  <mergeCells count="286"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Z36" sqref="AZ36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2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49"/>
      <c r="H3" s="49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52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52"/>
      <c r="H4" s="11"/>
      <c r="I4" s="62" t="s">
        <v>10</v>
      </c>
      <c r="J4" s="62"/>
      <c r="K4" s="62"/>
      <c r="L4" s="62">
        <v>11204</v>
      </c>
      <c r="M4" s="62"/>
      <c r="N4" s="62"/>
      <c r="O4" s="50"/>
      <c r="P4" s="50"/>
      <c r="Q4" s="86" t="s">
        <v>71</v>
      </c>
      <c r="R4" s="86"/>
      <c r="S4" s="86"/>
      <c r="T4" s="93">
        <v>118.23</v>
      </c>
      <c r="U4" s="93"/>
      <c r="V4" s="93"/>
      <c r="W4" s="93"/>
      <c r="X4" s="50" t="s">
        <v>70</v>
      </c>
      <c r="Y4" s="50"/>
      <c r="Z4" s="50"/>
      <c r="AF4" s="6"/>
      <c r="AH4" s="52"/>
      <c r="AK4" s="49"/>
      <c r="AL4" s="52"/>
      <c r="AM4" s="50"/>
      <c r="AP4" s="49"/>
    </row>
    <row r="5" spans="2:44" ht="18.75" customHeight="1" x14ac:dyDescent="0.4">
      <c r="Z5" s="52"/>
      <c r="AA5" s="52"/>
      <c r="AB5" s="52"/>
      <c r="AC5" s="52"/>
      <c r="AD5" s="77" t="s">
        <v>82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1789</v>
      </c>
      <c r="G8" s="80"/>
      <c r="H8" s="81"/>
      <c r="I8" s="79">
        <v>1811</v>
      </c>
      <c r="J8" s="80"/>
      <c r="K8" s="81"/>
      <c r="L8" s="79">
        <v>1958</v>
      </c>
      <c r="M8" s="80"/>
      <c r="N8" s="81"/>
      <c r="O8" s="79">
        <f t="shared" ref="O8:O32" si="0">I8+L8</f>
        <v>3769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472</v>
      </c>
      <c r="AB8" s="80"/>
      <c r="AC8" s="80"/>
      <c r="AD8" s="81"/>
      <c r="AE8" s="79">
        <v>496</v>
      </c>
      <c r="AF8" s="80"/>
      <c r="AG8" s="80"/>
      <c r="AH8" s="81"/>
      <c r="AI8" s="79">
        <v>529</v>
      </c>
      <c r="AJ8" s="80"/>
      <c r="AK8" s="80"/>
      <c r="AL8" s="81"/>
      <c r="AM8" s="85">
        <f t="shared" ref="AM8:AM31" si="1">AE8+AI8</f>
        <v>1025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93</v>
      </c>
      <c r="G9" s="75"/>
      <c r="H9" s="76"/>
      <c r="I9" s="74">
        <v>87</v>
      </c>
      <c r="J9" s="75"/>
      <c r="K9" s="76"/>
      <c r="L9" s="74">
        <v>73</v>
      </c>
      <c r="M9" s="75"/>
      <c r="N9" s="76"/>
      <c r="O9" s="74">
        <f t="shared" si="0"/>
        <v>160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57</v>
      </c>
      <c r="AF9" s="75"/>
      <c r="AG9" s="75"/>
      <c r="AH9" s="76"/>
      <c r="AI9" s="74">
        <v>64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211</v>
      </c>
      <c r="G10" s="75"/>
      <c r="H10" s="76"/>
      <c r="I10" s="74">
        <v>178</v>
      </c>
      <c r="J10" s="75"/>
      <c r="K10" s="76"/>
      <c r="L10" s="74">
        <v>201</v>
      </c>
      <c r="M10" s="75"/>
      <c r="N10" s="76"/>
      <c r="O10" s="74">
        <f t="shared" si="0"/>
        <v>379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276</v>
      </c>
      <c r="AB10" s="75"/>
      <c r="AC10" s="75"/>
      <c r="AD10" s="76"/>
      <c r="AE10" s="74">
        <v>257</v>
      </c>
      <c r="AF10" s="75"/>
      <c r="AG10" s="75"/>
      <c r="AH10" s="76"/>
      <c r="AI10" s="74">
        <v>294</v>
      </c>
      <c r="AJ10" s="75"/>
      <c r="AK10" s="75"/>
      <c r="AL10" s="76"/>
      <c r="AM10" s="70">
        <f t="shared" si="1"/>
        <v>551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119</v>
      </c>
      <c r="G11" s="75"/>
      <c r="H11" s="76"/>
      <c r="I11" s="74">
        <v>104</v>
      </c>
      <c r="J11" s="75"/>
      <c r="K11" s="76"/>
      <c r="L11" s="74">
        <v>121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425</v>
      </c>
      <c r="AB11" s="75"/>
      <c r="AC11" s="75"/>
      <c r="AD11" s="76"/>
      <c r="AE11" s="74">
        <v>466</v>
      </c>
      <c r="AF11" s="75"/>
      <c r="AG11" s="75"/>
      <c r="AH11" s="76"/>
      <c r="AI11" s="74">
        <v>501</v>
      </c>
      <c r="AJ11" s="75"/>
      <c r="AK11" s="75"/>
      <c r="AL11" s="76"/>
      <c r="AM11" s="70">
        <f t="shared" si="1"/>
        <v>967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152</v>
      </c>
      <c r="G12" s="75"/>
      <c r="H12" s="76"/>
      <c r="I12" s="74">
        <v>161</v>
      </c>
      <c r="J12" s="75"/>
      <c r="K12" s="76"/>
      <c r="L12" s="74">
        <v>161</v>
      </c>
      <c r="M12" s="75"/>
      <c r="N12" s="76"/>
      <c r="O12" s="74">
        <f t="shared" si="0"/>
        <v>322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170</v>
      </c>
      <c r="AB12" s="75"/>
      <c r="AC12" s="75"/>
      <c r="AD12" s="76"/>
      <c r="AE12" s="74">
        <v>157</v>
      </c>
      <c r="AF12" s="75"/>
      <c r="AG12" s="75"/>
      <c r="AH12" s="76"/>
      <c r="AI12" s="74">
        <v>181</v>
      </c>
      <c r="AJ12" s="75"/>
      <c r="AK12" s="75"/>
      <c r="AL12" s="76"/>
      <c r="AM12" s="70">
        <f t="shared" si="1"/>
        <v>338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107</v>
      </c>
      <c r="G13" s="75"/>
      <c r="H13" s="76"/>
      <c r="I13" s="74">
        <v>98</v>
      </c>
      <c r="J13" s="75"/>
      <c r="K13" s="76"/>
      <c r="L13" s="74">
        <v>94</v>
      </c>
      <c r="M13" s="75"/>
      <c r="N13" s="76"/>
      <c r="O13" s="74">
        <f t="shared" si="0"/>
        <v>192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126</v>
      </c>
      <c r="AF13" s="75"/>
      <c r="AG13" s="75"/>
      <c r="AH13" s="76"/>
      <c r="AI13" s="74">
        <v>130</v>
      </c>
      <c r="AJ13" s="75"/>
      <c r="AK13" s="75"/>
      <c r="AL13" s="76"/>
      <c r="AM13" s="70">
        <f t="shared" si="1"/>
        <v>256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1350</v>
      </c>
      <c r="AB14" s="75"/>
      <c r="AC14" s="75"/>
      <c r="AD14" s="76"/>
      <c r="AE14" s="74">
        <v>1271</v>
      </c>
      <c r="AF14" s="75"/>
      <c r="AG14" s="75"/>
      <c r="AH14" s="76"/>
      <c r="AI14" s="74">
        <v>1409</v>
      </c>
      <c r="AJ14" s="75"/>
      <c r="AK14" s="75"/>
      <c r="AL14" s="76"/>
      <c r="AM14" s="70">
        <f t="shared" si="1"/>
        <v>2680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245</v>
      </c>
      <c r="G15" s="75"/>
      <c r="H15" s="76"/>
      <c r="I15" s="74">
        <v>242</v>
      </c>
      <c r="J15" s="75"/>
      <c r="K15" s="76"/>
      <c r="L15" s="74">
        <v>279</v>
      </c>
      <c r="M15" s="75"/>
      <c r="N15" s="76"/>
      <c r="O15" s="74">
        <f t="shared" si="0"/>
        <v>521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10</v>
      </c>
      <c r="AB15" s="75"/>
      <c r="AC15" s="75"/>
      <c r="AD15" s="76"/>
      <c r="AE15" s="74">
        <v>7</v>
      </c>
      <c r="AF15" s="75"/>
      <c r="AG15" s="75"/>
      <c r="AH15" s="76"/>
      <c r="AI15" s="74">
        <v>9</v>
      </c>
      <c r="AJ15" s="75"/>
      <c r="AK15" s="75"/>
      <c r="AL15" s="76"/>
      <c r="AM15" s="70">
        <f t="shared" si="1"/>
        <v>16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236</v>
      </c>
      <c r="G16" s="75"/>
      <c r="H16" s="76"/>
      <c r="I16" s="74">
        <v>209</v>
      </c>
      <c r="J16" s="75"/>
      <c r="K16" s="76"/>
      <c r="L16" s="74">
        <v>249</v>
      </c>
      <c r="M16" s="75"/>
      <c r="N16" s="76"/>
      <c r="O16" s="74">
        <f t="shared" si="0"/>
        <v>458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41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92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126</v>
      </c>
      <c r="G17" s="75"/>
      <c r="H17" s="76"/>
      <c r="I17" s="74">
        <v>160</v>
      </c>
      <c r="J17" s="75"/>
      <c r="K17" s="76"/>
      <c r="L17" s="74">
        <v>188</v>
      </c>
      <c r="M17" s="75"/>
      <c r="N17" s="76"/>
      <c r="O17" s="74">
        <f t="shared" si="0"/>
        <v>348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239</v>
      </c>
      <c r="AB17" s="75"/>
      <c r="AC17" s="75"/>
      <c r="AD17" s="76"/>
      <c r="AE17" s="74">
        <v>227</v>
      </c>
      <c r="AF17" s="75"/>
      <c r="AG17" s="75"/>
      <c r="AH17" s="76"/>
      <c r="AI17" s="74">
        <v>248</v>
      </c>
      <c r="AJ17" s="75"/>
      <c r="AK17" s="75"/>
      <c r="AL17" s="76"/>
      <c r="AM17" s="70">
        <f t="shared" si="1"/>
        <v>475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149</v>
      </c>
      <c r="G18" s="75"/>
      <c r="H18" s="76"/>
      <c r="I18" s="74">
        <v>157</v>
      </c>
      <c r="J18" s="75"/>
      <c r="K18" s="76"/>
      <c r="L18" s="74">
        <v>183</v>
      </c>
      <c r="M18" s="75"/>
      <c r="N18" s="76"/>
      <c r="O18" s="74">
        <f t="shared" si="0"/>
        <v>340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233</v>
      </c>
      <c r="AB18" s="75"/>
      <c r="AC18" s="75"/>
      <c r="AD18" s="76"/>
      <c r="AE18" s="74">
        <v>194</v>
      </c>
      <c r="AF18" s="75"/>
      <c r="AG18" s="75"/>
      <c r="AH18" s="76"/>
      <c r="AI18" s="74">
        <v>203</v>
      </c>
      <c r="AJ18" s="75"/>
      <c r="AK18" s="75"/>
      <c r="AL18" s="76"/>
      <c r="AM18" s="70">
        <f t="shared" si="1"/>
        <v>397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4">
        <v>150</v>
      </c>
      <c r="M19" s="75"/>
      <c r="N19" s="76"/>
      <c r="O19" s="74">
        <f t="shared" si="0"/>
        <v>289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70</v>
      </c>
      <c r="AB19" s="75"/>
      <c r="AC19" s="75"/>
      <c r="AD19" s="76"/>
      <c r="AE19" s="74">
        <v>52</v>
      </c>
      <c r="AF19" s="75"/>
      <c r="AG19" s="75"/>
      <c r="AH19" s="76"/>
      <c r="AI19" s="74">
        <v>62</v>
      </c>
      <c r="AJ19" s="75"/>
      <c r="AK19" s="75"/>
      <c r="AL19" s="76"/>
      <c r="AM19" s="70">
        <f t="shared" si="1"/>
        <v>114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76</v>
      </c>
      <c r="G20" s="75"/>
      <c r="H20" s="76"/>
      <c r="I20" s="74">
        <v>65</v>
      </c>
      <c r="J20" s="75"/>
      <c r="K20" s="76"/>
      <c r="L20" s="74">
        <v>62</v>
      </c>
      <c r="M20" s="75"/>
      <c r="N20" s="76"/>
      <c r="O20" s="74">
        <f t="shared" si="0"/>
        <v>127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109</v>
      </c>
      <c r="AB20" s="75"/>
      <c r="AC20" s="75"/>
      <c r="AD20" s="76"/>
      <c r="AE20" s="74">
        <v>98</v>
      </c>
      <c r="AF20" s="75"/>
      <c r="AG20" s="75"/>
      <c r="AH20" s="76"/>
      <c r="AI20" s="74">
        <v>128</v>
      </c>
      <c r="AJ20" s="75"/>
      <c r="AK20" s="75"/>
      <c r="AL20" s="76"/>
      <c r="AM20" s="70">
        <f t="shared" si="1"/>
        <v>226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84</v>
      </c>
      <c r="G21" s="75"/>
      <c r="H21" s="76"/>
      <c r="I21" s="74">
        <v>46</v>
      </c>
      <c r="J21" s="75"/>
      <c r="K21" s="76"/>
      <c r="L21" s="74">
        <v>75</v>
      </c>
      <c r="M21" s="75"/>
      <c r="N21" s="76"/>
      <c r="O21" s="74">
        <f t="shared" si="0"/>
        <v>121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99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219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33</v>
      </c>
      <c r="J22" s="75"/>
      <c r="K22" s="76"/>
      <c r="L22" s="74">
        <v>34</v>
      </c>
      <c r="M22" s="75"/>
      <c r="N22" s="76"/>
      <c r="O22" s="74">
        <f t="shared" si="0"/>
        <v>67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247</v>
      </c>
      <c r="AB22" s="75"/>
      <c r="AC22" s="75"/>
      <c r="AD22" s="76"/>
      <c r="AE22" s="74">
        <v>250</v>
      </c>
      <c r="AF22" s="75"/>
      <c r="AG22" s="75"/>
      <c r="AH22" s="76"/>
      <c r="AI22" s="74">
        <v>291</v>
      </c>
      <c r="AJ22" s="75"/>
      <c r="AK22" s="75"/>
      <c r="AL22" s="76"/>
      <c r="AM22" s="70">
        <f t="shared" si="1"/>
        <v>541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178</v>
      </c>
      <c r="G23" s="75"/>
      <c r="H23" s="76"/>
      <c r="I23" s="74">
        <v>162</v>
      </c>
      <c r="J23" s="75"/>
      <c r="K23" s="76"/>
      <c r="L23" s="74">
        <v>179</v>
      </c>
      <c r="M23" s="75"/>
      <c r="N23" s="76"/>
      <c r="O23" s="74">
        <f t="shared" si="0"/>
        <v>341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15</v>
      </c>
      <c r="AB23" s="75"/>
      <c r="AC23" s="75"/>
      <c r="AD23" s="76"/>
      <c r="AE23" s="74">
        <v>9</v>
      </c>
      <c r="AF23" s="75"/>
      <c r="AG23" s="75"/>
      <c r="AH23" s="76"/>
      <c r="AI23" s="74">
        <v>17</v>
      </c>
      <c r="AJ23" s="75"/>
      <c r="AK23" s="75"/>
      <c r="AL23" s="76"/>
      <c r="AM23" s="70">
        <f t="shared" si="1"/>
        <v>26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221</v>
      </c>
      <c r="G24" s="75"/>
      <c r="H24" s="76"/>
      <c r="I24" s="74">
        <v>229</v>
      </c>
      <c r="J24" s="75"/>
      <c r="K24" s="76"/>
      <c r="L24" s="74">
        <v>231</v>
      </c>
      <c r="M24" s="75"/>
      <c r="N24" s="76"/>
      <c r="O24" s="74">
        <f t="shared" si="0"/>
        <v>460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138</v>
      </c>
      <c r="AB24" s="75"/>
      <c r="AC24" s="75"/>
      <c r="AD24" s="76"/>
      <c r="AE24" s="74">
        <v>121</v>
      </c>
      <c r="AF24" s="75"/>
      <c r="AG24" s="75"/>
      <c r="AH24" s="76"/>
      <c r="AI24" s="74">
        <v>125</v>
      </c>
      <c r="AJ24" s="75"/>
      <c r="AK24" s="75"/>
      <c r="AL24" s="76"/>
      <c r="AM24" s="70">
        <f t="shared" si="1"/>
        <v>246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162</v>
      </c>
      <c r="J25" s="75"/>
      <c r="K25" s="76"/>
      <c r="L25" s="74">
        <v>178</v>
      </c>
      <c r="M25" s="75"/>
      <c r="N25" s="76"/>
      <c r="O25" s="74">
        <f t="shared" si="0"/>
        <v>340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245</v>
      </c>
      <c r="AB25" s="75"/>
      <c r="AC25" s="75"/>
      <c r="AD25" s="76"/>
      <c r="AE25" s="74">
        <v>188</v>
      </c>
      <c r="AF25" s="75"/>
      <c r="AG25" s="75"/>
      <c r="AH25" s="76"/>
      <c r="AI25" s="74">
        <v>203</v>
      </c>
      <c r="AJ25" s="75"/>
      <c r="AK25" s="75"/>
      <c r="AL25" s="76"/>
      <c r="AM25" s="70">
        <f t="shared" si="1"/>
        <v>391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171</v>
      </c>
      <c r="G26" s="75"/>
      <c r="H26" s="76"/>
      <c r="I26" s="74">
        <v>164</v>
      </c>
      <c r="J26" s="75"/>
      <c r="K26" s="76"/>
      <c r="L26" s="74">
        <v>181</v>
      </c>
      <c r="M26" s="75"/>
      <c r="N26" s="76"/>
      <c r="O26" s="74">
        <f t="shared" si="0"/>
        <v>345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154</v>
      </c>
      <c r="AB26" s="75"/>
      <c r="AC26" s="75"/>
      <c r="AD26" s="76"/>
      <c r="AE26" s="74">
        <v>134</v>
      </c>
      <c r="AF26" s="75"/>
      <c r="AG26" s="75"/>
      <c r="AH26" s="76"/>
      <c r="AI26" s="74">
        <v>152</v>
      </c>
      <c r="AJ26" s="75"/>
      <c r="AK26" s="75"/>
      <c r="AL26" s="76"/>
      <c r="AM26" s="70">
        <f t="shared" si="1"/>
        <v>286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144</v>
      </c>
      <c r="G27" s="75"/>
      <c r="H27" s="76"/>
      <c r="I27" s="74">
        <v>127</v>
      </c>
      <c r="J27" s="75"/>
      <c r="K27" s="76"/>
      <c r="L27" s="74">
        <v>150</v>
      </c>
      <c r="M27" s="75"/>
      <c r="N27" s="76"/>
      <c r="O27" s="74">
        <f t="shared" si="0"/>
        <v>277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179</v>
      </c>
      <c r="AB27" s="75"/>
      <c r="AC27" s="75"/>
      <c r="AD27" s="76"/>
      <c r="AE27" s="74">
        <v>158</v>
      </c>
      <c r="AF27" s="75"/>
      <c r="AG27" s="75"/>
      <c r="AH27" s="76"/>
      <c r="AI27" s="74">
        <v>119</v>
      </c>
      <c r="AJ27" s="75"/>
      <c r="AK27" s="75"/>
      <c r="AL27" s="76"/>
      <c r="AM27" s="70">
        <f t="shared" si="1"/>
        <v>277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56</v>
      </c>
      <c r="M28" s="75"/>
      <c r="N28" s="76"/>
      <c r="O28" s="74">
        <f t="shared" si="0"/>
        <v>102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209</v>
      </c>
      <c r="AB28" s="75"/>
      <c r="AC28" s="75"/>
      <c r="AD28" s="76"/>
      <c r="AE28" s="74">
        <v>181</v>
      </c>
      <c r="AF28" s="75"/>
      <c r="AG28" s="75"/>
      <c r="AH28" s="76"/>
      <c r="AI28" s="74">
        <v>204</v>
      </c>
      <c r="AJ28" s="75"/>
      <c r="AK28" s="75"/>
      <c r="AL28" s="76"/>
      <c r="AM28" s="70">
        <f t="shared" si="1"/>
        <v>385</v>
      </c>
      <c r="AN28" s="70"/>
      <c r="AO28" s="70"/>
      <c r="AP28" s="70"/>
      <c r="AR28" s="51"/>
      <c r="AS28" s="51" t="s">
        <v>23</v>
      </c>
      <c r="AT28" s="51" t="s">
        <v>22</v>
      </c>
      <c r="AU28" s="51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83</v>
      </c>
      <c r="G29" s="75"/>
      <c r="H29" s="76"/>
      <c r="I29" s="74">
        <v>69</v>
      </c>
      <c r="J29" s="75"/>
      <c r="K29" s="76"/>
      <c r="L29" s="74">
        <v>87</v>
      </c>
      <c r="M29" s="75"/>
      <c r="N29" s="76"/>
      <c r="O29" s="74">
        <f t="shared" si="0"/>
        <v>156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204</v>
      </c>
      <c r="AB29" s="75"/>
      <c r="AC29" s="75"/>
      <c r="AD29" s="76"/>
      <c r="AE29" s="74">
        <v>204</v>
      </c>
      <c r="AF29" s="75"/>
      <c r="AG29" s="75"/>
      <c r="AH29" s="76"/>
      <c r="AI29" s="74">
        <v>155</v>
      </c>
      <c r="AJ29" s="75"/>
      <c r="AK29" s="75"/>
      <c r="AL29" s="76"/>
      <c r="AM29" s="70">
        <f t="shared" si="1"/>
        <v>359</v>
      </c>
      <c r="AN29" s="70"/>
      <c r="AO29" s="70"/>
      <c r="AP29" s="70"/>
      <c r="AR29" s="51" t="s">
        <v>8</v>
      </c>
      <c r="AS29" s="9">
        <f>AE31</f>
        <v>11705</v>
      </c>
      <c r="AT29" s="9">
        <v>4325</v>
      </c>
      <c r="AU29" s="8">
        <f>IF(OR(AS29=0,AT29=0),"",ROUNDDOWN(AT29/AS29,4))</f>
        <v>0.3695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1461</v>
      </c>
      <c r="G30" s="75"/>
      <c r="H30" s="76"/>
      <c r="I30" s="74">
        <v>1458</v>
      </c>
      <c r="J30" s="75"/>
      <c r="K30" s="76"/>
      <c r="L30" s="74">
        <v>1622</v>
      </c>
      <c r="M30" s="75"/>
      <c r="N30" s="76"/>
      <c r="O30" s="74">
        <f t="shared" si="0"/>
        <v>3080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42</v>
      </c>
      <c r="AF30" s="75"/>
      <c r="AG30" s="75"/>
      <c r="AH30" s="76"/>
      <c r="AI30" s="74">
        <v>47</v>
      </c>
      <c r="AJ30" s="75"/>
      <c r="AK30" s="75"/>
      <c r="AL30" s="76"/>
      <c r="AM30" s="70">
        <f t="shared" si="1"/>
        <v>89</v>
      </c>
      <c r="AN30" s="70"/>
      <c r="AO30" s="70"/>
      <c r="AP30" s="70"/>
      <c r="AR30" s="51" t="s">
        <v>6</v>
      </c>
      <c r="AS30" s="9">
        <f>AI31</f>
        <v>12780</v>
      </c>
      <c r="AT30" s="9">
        <v>5830</v>
      </c>
      <c r="AU30" s="8">
        <f>IF(OR(AS30=0,AT30=0),"",ROUNDDOWN(AT30/AS30,4))</f>
        <v>0.45610000000000001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553</v>
      </c>
      <c r="J31" s="75"/>
      <c r="K31" s="76"/>
      <c r="L31" s="74">
        <v>580</v>
      </c>
      <c r="M31" s="75"/>
      <c r="N31" s="76"/>
      <c r="O31" s="74">
        <f t="shared" si="0"/>
        <v>1133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12190</v>
      </c>
      <c r="AB31" s="75"/>
      <c r="AC31" s="75"/>
      <c r="AD31" s="76"/>
      <c r="AE31" s="74">
        <f>SUM(I8:K32,AE8:AH30)</f>
        <v>11705</v>
      </c>
      <c r="AF31" s="75"/>
      <c r="AG31" s="75"/>
      <c r="AH31" s="76"/>
      <c r="AI31" s="74">
        <f>SUM(L8:N32,AI8:AL30)</f>
        <v>12780</v>
      </c>
      <c r="AJ31" s="75"/>
      <c r="AK31" s="75"/>
      <c r="AL31" s="76"/>
      <c r="AM31" s="70">
        <f t="shared" si="1"/>
        <v>24485</v>
      </c>
      <c r="AN31" s="70"/>
      <c r="AO31" s="70"/>
      <c r="AP31" s="70"/>
      <c r="AR31" s="51" t="s">
        <v>15</v>
      </c>
      <c r="AS31" s="9">
        <f>AM31</f>
        <v>24485</v>
      </c>
      <c r="AT31" s="9">
        <f>AT29+AT30</f>
        <v>10155</v>
      </c>
      <c r="AU31" s="8">
        <f>IF(OR(AS31=0,AT31=0),"",ROUNDDOWN(AT31/AS31,4))</f>
        <v>0.41470000000000001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432</v>
      </c>
      <c r="G32" s="68"/>
      <c r="H32" s="69"/>
      <c r="I32" s="67">
        <v>404</v>
      </c>
      <c r="J32" s="68"/>
      <c r="K32" s="69"/>
      <c r="L32" s="67">
        <v>443</v>
      </c>
      <c r="M32" s="68"/>
      <c r="N32" s="69"/>
      <c r="O32" s="67">
        <f t="shared" si="0"/>
        <v>847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49" t="s">
        <v>12</v>
      </c>
      <c r="E34" s="60">
        <f>AM31-24498</f>
        <v>-13</v>
      </c>
      <c r="F34" s="60"/>
      <c r="G34" s="1" t="s">
        <v>0</v>
      </c>
      <c r="L34" s="1" t="s">
        <v>11</v>
      </c>
      <c r="O34" s="61">
        <f>AM31-24992</f>
        <v>-507</v>
      </c>
      <c r="P34" s="61"/>
      <c r="Q34" s="61"/>
      <c r="R34" s="61"/>
      <c r="S34" s="1" t="s">
        <v>0</v>
      </c>
      <c r="AG34" s="49" t="s">
        <v>13</v>
      </c>
      <c r="AH34" s="62">
        <f>AT31</f>
        <v>10155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49" t="s">
        <v>12</v>
      </c>
      <c r="E36" s="61">
        <f>AA31-12186</f>
        <v>4</v>
      </c>
      <c r="F36" s="61"/>
      <c r="G36" s="1" t="s">
        <v>10</v>
      </c>
      <c r="L36" s="1" t="s">
        <v>11</v>
      </c>
      <c r="O36" s="61">
        <f>AA31-12270</f>
        <v>-80</v>
      </c>
      <c r="P36" s="61"/>
      <c r="Q36" s="61"/>
      <c r="R36" s="61"/>
      <c r="S36" s="1" t="s">
        <v>10</v>
      </c>
      <c r="Y36" s="1" t="s">
        <v>9</v>
      </c>
      <c r="AG36" s="49" t="s">
        <v>8</v>
      </c>
      <c r="AH36" s="62">
        <f>AT29</f>
        <v>4325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49"/>
    </row>
    <row r="38" spans="3:39" ht="18.75" customHeight="1" x14ac:dyDescent="0.4">
      <c r="C38" s="50" t="s">
        <v>7</v>
      </c>
      <c r="AG38" s="49" t="s">
        <v>6</v>
      </c>
      <c r="AH38" s="62">
        <f>AT30</f>
        <v>5830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49"/>
    </row>
    <row r="40" spans="3:39" ht="18.75" customHeight="1" x14ac:dyDescent="0.4">
      <c r="C40" s="4" t="s">
        <v>5</v>
      </c>
      <c r="AG40" s="49" t="s">
        <v>4</v>
      </c>
      <c r="AH40" s="63">
        <f>IF(OR(AH34=0,AM31=0),"",ROUNDDOWN(AH34/AM31*100,2))</f>
        <v>41.47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6</v>
      </c>
      <c r="H42" s="57"/>
      <c r="I42" s="1" t="s">
        <v>0</v>
      </c>
      <c r="L42" s="1" t="s">
        <v>1</v>
      </c>
      <c r="T42" s="57">
        <v>28</v>
      </c>
      <c r="U42" s="57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zoomScaleNormal="100" workbookViewId="0">
      <selection activeCell="AT42" sqref="AT42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6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53"/>
      <c r="H3" s="53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56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56"/>
      <c r="H4" s="11"/>
      <c r="I4" s="62" t="s">
        <v>10</v>
      </c>
      <c r="J4" s="62"/>
      <c r="K4" s="62"/>
      <c r="L4" s="62">
        <v>11204</v>
      </c>
      <c r="M4" s="62"/>
      <c r="N4" s="62"/>
      <c r="O4" s="54"/>
      <c r="P4" s="54"/>
      <c r="Q4" s="86" t="s">
        <v>71</v>
      </c>
      <c r="R4" s="86"/>
      <c r="S4" s="86"/>
      <c r="T4" s="93">
        <v>118.23</v>
      </c>
      <c r="U4" s="93"/>
      <c r="V4" s="93"/>
      <c r="W4" s="93"/>
      <c r="X4" s="54" t="s">
        <v>70</v>
      </c>
      <c r="Y4" s="54"/>
      <c r="Z4" s="54"/>
      <c r="AF4" s="6"/>
      <c r="AH4" s="56"/>
      <c r="AK4" s="53"/>
      <c r="AL4" s="56"/>
      <c r="AM4" s="54"/>
      <c r="AP4" s="53"/>
    </row>
    <row r="5" spans="2:44" ht="18.75" customHeight="1" x14ac:dyDescent="0.4">
      <c r="Z5" s="56"/>
      <c r="AA5" s="56"/>
      <c r="AB5" s="56"/>
      <c r="AC5" s="56"/>
      <c r="AD5" s="77" t="s">
        <v>83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1797</v>
      </c>
      <c r="G8" s="80"/>
      <c r="H8" s="81"/>
      <c r="I8" s="79">
        <v>1806</v>
      </c>
      <c r="J8" s="80"/>
      <c r="K8" s="81"/>
      <c r="L8" s="79">
        <v>1960</v>
      </c>
      <c r="M8" s="80"/>
      <c r="N8" s="81"/>
      <c r="O8" s="79">
        <f t="shared" ref="O8:O32" si="0">I8+L8</f>
        <v>3766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470</v>
      </c>
      <c r="AB8" s="80"/>
      <c r="AC8" s="80"/>
      <c r="AD8" s="81"/>
      <c r="AE8" s="79">
        <v>495</v>
      </c>
      <c r="AF8" s="80"/>
      <c r="AG8" s="80"/>
      <c r="AH8" s="81"/>
      <c r="AI8" s="79">
        <v>521</v>
      </c>
      <c r="AJ8" s="80"/>
      <c r="AK8" s="80"/>
      <c r="AL8" s="81"/>
      <c r="AM8" s="85">
        <f t="shared" ref="AM8:AM31" si="1">AE8+AI8</f>
        <v>1016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89</v>
      </c>
      <c r="G9" s="75"/>
      <c r="H9" s="76"/>
      <c r="I9" s="74">
        <v>83</v>
      </c>
      <c r="J9" s="75"/>
      <c r="K9" s="76"/>
      <c r="L9" s="74">
        <v>70</v>
      </c>
      <c r="M9" s="75"/>
      <c r="N9" s="76"/>
      <c r="O9" s="74">
        <f t="shared" si="0"/>
        <v>153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56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119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213</v>
      </c>
      <c r="G10" s="75"/>
      <c r="H10" s="76"/>
      <c r="I10" s="74">
        <v>182</v>
      </c>
      <c r="J10" s="75"/>
      <c r="K10" s="76"/>
      <c r="L10" s="74">
        <v>198</v>
      </c>
      <c r="M10" s="75"/>
      <c r="N10" s="76"/>
      <c r="O10" s="74">
        <f t="shared" si="0"/>
        <v>380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272</v>
      </c>
      <c r="AB10" s="75"/>
      <c r="AC10" s="75"/>
      <c r="AD10" s="76"/>
      <c r="AE10" s="74">
        <v>252</v>
      </c>
      <c r="AF10" s="75"/>
      <c r="AG10" s="75"/>
      <c r="AH10" s="76"/>
      <c r="AI10" s="74">
        <v>291</v>
      </c>
      <c r="AJ10" s="75"/>
      <c r="AK10" s="75"/>
      <c r="AL10" s="76"/>
      <c r="AM10" s="70">
        <f t="shared" si="1"/>
        <v>543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120</v>
      </c>
      <c r="G11" s="75"/>
      <c r="H11" s="76"/>
      <c r="I11" s="74">
        <v>104</v>
      </c>
      <c r="J11" s="75"/>
      <c r="K11" s="76"/>
      <c r="L11" s="74">
        <v>122</v>
      </c>
      <c r="M11" s="75"/>
      <c r="N11" s="76"/>
      <c r="O11" s="74">
        <f t="shared" si="0"/>
        <v>226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429</v>
      </c>
      <c r="AB11" s="75"/>
      <c r="AC11" s="75"/>
      <c r="AD11" s="76"/>
      <c r="AE11" s="74">
        <v>466</v>
      </c>
      <c r="AF11" s="75"/>
      <c r="AG11" s="75"/>
      <c r="AH11" s="76"/>
      <c r="AI11" s="74">
        <v>498</v>
      </c>
      <c r="AJ11" s="75"/>
      <c r="AK11" s="75"/>
      <c r="AL11" s="76"/>
      <c r="AM11" s="70">
        <f t="shared" si="1"/>
        <v>964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152</v>
      </c>
      <c r="G12" s="75"/>
      <c r="H12" s="76"/>
      <c r="I12" s="74">
        <v>161</v>
      </c>
      <c r="J12" s="75"/>
      <c r="K12" s="76"/>
      <c r="L12" s="74">
        <v>158</v>
      </c>
      <c r="M12" s="75"/>
      <c r="N12" s="76"/>
      <c r="O12" s="74">
        <f t="shared" si="0"/>
        <v>319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168</v>
      </c>
      <c r="AB12" s="75"/>
      <c r="AC12" s="75"/>
      <c r="AD12" s="76"/>
      <c r="AE12" s="74">
        <v>157</v>
      </c>
      <c r="AF12" s="75"/>
      <c r="AG12" s="75"/>
      <c r="AH12" s="76"/>
      <c r="AI12" s="74">
        <v>179</v>
      </c>
      <c r="AJ12" s="75"/>
      <c r="AK12" s="75"/>
      <c r="AL12" s="76"/>
      <c r="AM12" s="70">
        <f t="shared" si="1"/>
        <v>336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104</v>
      </c>
      <c r="G13" s="75"/>
      <c r="H13" s="76"/>
      <c r="I13" s="74">
        <v>94</v>
      </c>
      <c r="J13" s="75"/>
      <c r="K13" s="76"/>
      <c r="L13" s="74">
        <v>95</v>
      </c>
      <c r="M13" s="75"/>
      <c r="N13" s="76"/>
      <c r="O13" s="74">
        <f t="shared" si="0"/>
        <v>189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126</v>
      </c>
      <c r="AF13" s="75"/>
      <c r="AG13" s="75"/>
      <c r="AH13" s="76"/>
      <c r="AI13" s="74">
        <v>127</v>
      </c>
      <c r="AJ13" s="75"/>
      <c r="AK13" s="75"/>
      <c r="AL13" s="76"/>
      <c r="AM13" s="70">
        <f t="shared" si="1"/>
        <v>253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1346</v>
      </c>
      <c r="AB14" s="75"/>
      <c r="AC14" s="75"/>
      <c r="AD14" s="76"/>
      <c r="AE14" s="74">
        <v>1260</v>
      </c>
      <c r="AF14" s="75"/>
      <c r="AG14" s="75"/>
      <c r="AH14" s="76"/>
      <c r="AI14" s="74">
        <v>1391</v>
      </c>
      <c r="AJ14" s="75"/>
      <c r="AK14" s="75"/>
      <c r="AL14" s="76"/>
      <c r="AM14" s="70">
        <f t="shared" si="1"/>
        <v>2651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246</v>
      </c>
      <c r="G15" s="75"/>
      <c r="H15" s="76"/>
      <c r="I15" s="74">
        <v>244</v>
      </c>
      <c r="J15" s="75"/>
      <c r="K15" s="76"/>
      <c r="L15" s="74">
        <v>278</v>
      </c>
      <c r="M15" s="75"/>
      <c r="N15" s="76"/>
      <c r="O15" s="74">
        <f t="shared" si="0"/>
        <v>522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13</v>
      </c>
      <c r="AB15" s="75"/>
      <c r="AC15" s="75"/>
      <c r="AD15" s="76"/>
      <c r="AE15" s="74">
        <v>8</v>
      </c>
      <c r="AF15" s="75"/>
      <c r="AG15" s="75"/>
      <c r="AH15" s="76"/>
      <c r="AI15" s="74">
        <v>11</v>
      </c>
      <c r="AJ15" s="75"/>
      <c r="AK15" s="75"/>
      <c r="AL15" s="76"/>
      <c r="AM15" s="70">
        <f t="shared" si="1"/>
        <v>19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237</v>
      </c>
      <c r="G16" s="75"/>
      <c r="H16" s="76"/>
      <c r="I16" s="74">
        <v>210</v>
      </c>
      <c r="J16" s="75"/>
      <c r="K16" s="76"/>
      <c r="L16" s="74">
        <v>249</v>
      </c>
      <c r="M16" s="75"/>
      <c r="N16" s="76"/>
      <c r="O16" s="74">
        <f t="shared" si="0"/>
        <v>459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40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91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125</v>
      </c>
      <c r="G17" s="75"/>
      <c r="H17" s="76"/>
      <c r="I17" s="74">
        <v>161</v>
      </c>
      <c r="J17" s="75"/>
      <c r="K17" s="76"/>
      <c r="L17" s="74">
        <v>186</v>
      </c>
      <c r="M17" s="75"/>
      <c r="N17" s="76"/>
      <c r="O17" s="74">
        <f t="shared" si="0"/>
        <v>347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241</v>
      </c>
      <c r="AB17" s="75"/>
      <c r="AC17" s="75"/>
      <c r="AD17" s="76"/>
      <c r="AE17" s="74">
        <v>229</v>
      </c>
      <c r="AF17" s="75"/>
      <c r="AG17" s="75"/>
      <c r="AH17" s="76"/>
      <c r="AI17" s="74">
        <v>247</v>
      </c>
      <c r="AJ17" s="75"/>
      <c r="AK17" s="75"/>
      <c r="AL17" s="76"/>
      <c r="AM17" s="70">
        <f t="shared" si="1"/>
        <v>476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148</v>
      </c>
      <c r="G18" s="75"/>
      <c r="H18" s="76"/>
      <c r="I18" s="74">
        <v>156</v>
      </c>
      <c r="J18" s="75"/>
      <c r="K18" s="76"/>
      <c r="L18" s="74">
        <v>181</v>
      </c>
      <c r="M18" s="75"/>
      <c r="N18" s="76"/>
      <c r="O18" s="74">
        <f t="shared" si="0"/>
        <v>337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234</v>
      </c>
      <c r="AB18" s="75"/>
      <c r="AC18" s="75"/>
      <c r="AD18" s="76"/>
      <c r="AE18" s="74">
        <v>194</v>
      </c>
      <c r="AF18" s="75"/>
      <c r="AG18" s="75"/>
      <c r="AH18" s="76"/>
      <c r="AI18" s="74">
        <v>205</v>
      </c>
      <c r="AJ18" s="75"/>
      <c r="AK18" s="75"/>
      <c r="AL18" s="76"/>
      <c r="AM18" s="70">
        <f t="shared" si="1"/>
        <v>399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151</v>
      </c>
      <c r="G19" s="75"/>
      <c r="H19" s="76"/>
      <c r="I19" s="74">
        <v>137</v>
      </c>
      <c r="J19" s="75"/>
      <c r="K19" s="76"/>
      <c r="L19" s="74">
        <v>149</v>
      </c>
      <c r="M19" s="75"/>
      <c r="N19" s="76"/>
      <c r="O19" s="74">
        <f t="shared" si="0"/>
        <v>286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70</v>
      </c>
      <c r="AB19" s="75"/>
      <c r="AC19" s="75"/>
      <c r="AD19" s="76"/>
      <c r="AE19" s="74">
        <v>52</v>
      </c>
      <c r="AF19" s="75"/>
      <c r="AG19" s="75"/>
      <c r="AH19" s="76"/>
      <c r="AI19" s="74">
        <v>61</v>
      </c>
      <c r="AJ19" s="75"/>
      <c r="AK19" s="75"/>
      <c r="AL19" s="76"/>
      <c r="AM19" s="70">
        <f t="shared" si="1"/>
        <v>113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77</v>
      </c>
      <c r="G20" s="75"/>
      <c r="H20" s="76"/>
      <c r="I20" s="74">
        <v>66</v>
      </c>
      <c r="J20" s="75"/>
      <c r="K20" s="76"/>
      <c r="L20" s="74">
        <v>62</v>
      </c>
      <c r="M20" s="75"/>
      <c r="N20" s="76"/>
      <c r="O20" s="74">
        <f t="shared" si="0"/>
        <v>128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110</v>
      </c>
      <c r="AB20" s="75"/>
      <c r="AC20" s="75"/>
      <c r="AD20" s="76"/>
      <c r="AE20" s="74">
        <v>100</v>
      </c>
      <c r="AF20" s="75"/>
      <c r="AG20" s="75"/>
      <c r="AH20" s="76"/>
      <c r="AI20" s="74">
        <v>130</v>
      </c>
      <c r="AJ20" s="75"/>
      <c r="AK20" s="75"/>
      <c r="AL20" s="76"/>
      <c r="AM20" s="70">
        <f t="shared" si="1"/>
        <v>230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84</v>
      </c>
      <c r="G21" s="75"/>
      <c r="H21" s="76"/>
      <c r="I21" s="74">
        <v>45</v>
      </c>
      <c r="J21" s="75"/>
      <c r="K21" s="76"/>
      <c r="L21" s="74">
        <v>75</v>
      </c>
      <c r="M21" s="75"/>
      <c r="N21" s="76"/>
      <c r="O21" s="74">
        <f t="shared" si="0"/>
        <v>120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98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218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33</v>
      </c>
      <c r="J22" s="75"/>
      <c r="K22" s="76"/>
      <c r="L22" s="74">
        <v>34</v>
      </c>
      <c r="M22" s="75"/>
      <c r="N22" s="76"/>
      <c r="O22" s="74">
        <f t="shared" si="0"/>
        <v>67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246</v>
      </c>
      <c r="AB22" s="75"/>
      <c r="AC22" s="75"/>
      <c r="AD22" s="76"/>
      <c r="AE22" s="74">
        <v>246</v>
      </c>
      <c r="AF22" s="75"/>
      <c r="AG22" s="75"/>
      <c r="AH22" s="76"/>
      <c r="AI22" s="74">
        <v>287</v>
      </c>
      <c r="AJ22" s="75"/>
      <c r="AK22" s="75"/>
      <c r="AL22" s="76"/>
      <c r="AM22" s="70">
        <f t="shared" si="1"/>
        <v>533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179</v>
      </c>
      <c r="G23" s="75"/>
      <c r="H23" s="76"/>
      <c r="I23" s="74">
        <v>162</v>
      </c>
      <c r="J23" s="75"/>
      <c r="K23" s="76"/>
      <c r="L23" s="74">
        <v>179</v>
      </c>
      <c r="M23" s="75"/>
      <c r="N23" s="76"/>
      <c r="O23" s="74">
        <f t="shared" si="0"/>
        <v>341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19</v>
      </c>
      <c r="AB23" s="75"/>
      <c r="AC23" s="75"/>
      <c r="AD23" s="76"/>
      <c r="AE23" s="74">
        <v>12</v>
      </c>
      <c r="AF23" s="75"/>
      <c r="AG23" s="75"/>
      <c r="AH23" s="76"/>
      <c r="AI23" s="74">
        <v>17</v>
      </c>
      <c r="AJ23" s="75"/>
      <c r="AK23" s="75"/>
      <c r="AL23" s="76"/>
      <c r="AM23" s="70">
        <f t="shared" si="1"/>
        <v>29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222</v>
      </c>
      <c r="G24" s="75"/>
      <c r="H24" s="76"/>
      <c r="I24" s="74">
        <v>228</v>
      </c>
      <c r="J24" s="75"/>
      <c r="K24" s="76"/>
      <c r="L24" s="74">
        <v>227</v>
      </c>
      <c r="M24" s="75"/>
      <c r="N24" s="76"/>
      <c r="O24" s="74">
        <f t="shared" si="0"/>
        <v>455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141</v>
      </c>
      <c r="AB24" s="75"/>
      <c r="AC24" s="75"/>
      <c r="AD24" s="76"/>
      <c r="AE24" s="74">
        <v>120</v>
      </c>
      <c r="AF24" s="75"/>
      <c r="AG24" s="75"/>
      <c r="AH24" s="76"/>
      <c r="AI24" s="74">
        <v>128</v>
      </c>
      <c r="AJ24" s="75"/>
      <c r="AK24" s="75"/>
      <c r="AL24" s="76"/>
      <c r="AM24" s="70">
        <f t="shared" si="1"/>
        <v>248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177</v>
      </c>
      <c r="G25" s="75"/>
      <c r="H25" s="76"/>
      <c r="I25" s="74">
        <v>160</v>
      </c>
      <c r="J25" s="75"/>
      <c r="K25" s="76"/>
      <c r="L25" s="74">
        <v>176</v>
      </c>
      <c r="M25" s="75"/>
      <c r="N25" s="76"/>
      <c r="O25" s="74">
        <f t="shared" si="0"/>
        <v>336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245</v>
      </c>
      <c r="AB25" s="75"/>
      <c r="AC25" s="75"/>
      <c r="AD25" s="76"/>
      <c r="AE25" s="74">
        <v>190</v>
      </c>
      <c r="AF25" s="75"/>
      <c r="AG25" s="75"/>
      <c r="AH25" s="76"/>
      <c r="AI25" s="74">
        <v>203</v>
      </c>
      <c r="AJ25" s="75"/>
      <c r="AK25" s="75"/>
      <c r="AL25" s="76"/>
      <c r="AM25" s="70">
        <f t="shared" si="1"/>
        <v>393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173</v>
      </c>
      <c r="G26" s="75"/>
      <c r="H26" s="76"/>
      <c r="I26" s="74">
        <v>166</v>
      </c>
      <c r="J26" s="75"/>
      <c r="K26" s="76"/>
      <c r="L26" s="74">
        <v>184</v>
      </c>
      <c r="M26" s="75"/>
      <c r="N26" s="76"/>
      <c r="O26" s="74">
        <f t="shared" si="0"/>
        <v>350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151</v>
      </c>
      <c r="AB26" s="75"/>
      <c r="AC26" s="75"/>
      <c r="AD26" s="76"/>
      <c r="AE26" s="74">
        <v>134</v>
      </c>
      <c r="AF26" s="75"/>
      <c r="AG26" s="75"/>
      <c r="AH26" s="76"/>
      <c r="AI26" s="74">
        <v>149</v>
      </c>
      <c r="AJ26" s="75"/>
      <c r="AK26" s="75"/>
      <c r="AL26" s="76"/>
      <c r="AM26" s="70">
        <f t="shared" si="1"/>
        <v>283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145</v>
      </c>
      <c r="G27" s="75"/>
      <c r="H27" s="76"/>
      <c r="I27" s="74">
        <v>126</v>
      </c>
      <c r="J27" s="75"/>
      <c r="K27" s="76"/>
      <c r="L27" s="74">
        <v>150</v>
      </c>
      <c r="M27" s="75"/>
      <c r="N27" s="76"/>
      <c r="O27" s="74">
        <f t="shared" si="0"/>
        <v>276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179</v>
      </c>
      <c r="AB27" s="75"/>
      <c r="AC27" s="75"/>
      <c r="AD27" s="76"/>
      <c r="AE27" s="74">
        <v>156</v>
      </c>
      <c r="AF27" s="75"/>
      <c r="AG27" s="75"/>
      <c r="AH27" s="76"/>
      <c r="AI27" s="74">
        <v>118</v>
      </c>
      <c r="AJ27" s="75"/>
      <c r="AK27" s="75"/>
      <c r="AL27" s="76"/>
      <c r="AM27" s="70">
        <f t="shared" si="1"/>
        <v>274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57</v>
      </c>
      <c r="G28" s="75"/>
      <c r="H28" s="76"/>
      <c r="I28" s="74">
        <v>46</v>
      </c>
      <c r="J28" s="75"/>
      <c r="K28" s="76"/>
      <c r="L28" s="74">
        <v>55</v>
      </c>
      <c r="M28" s="75"/>
      <c r="N28" s="76"/>
      <c r="O28" s="74">
        <f t="shared" si="0"/>
        <v>101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209</v>
      </c>
      <c r="AB28" s="75"/>
      <c r="AC28" s="75"/>
      <c r="AD28" s="76"/>
      <c r="AE28" s="74">
        <v>180</v>
      </c>
      <c r="AF28" s="75"/>
      <c r="AG28" s="75"/>
      <c r="AH28" s="76"/>
      <c r="AI28" s="74">
        <v>202</v>
      </c>
      <c r="AJ28" s="75"/>
      <c r="AK28" s="75"/>
      <c r="AL28" s="76"/>
      <c r="AM28" s="70">
        <f t="shared" si="1"/>
        <v>382</v>
      </c>
      <c r="AN28" s="70"/>
      <c r="AO28" s="70"/>
      <c r="AP28" s="70"/>
      <c r="AR28" s="55"/>
      <c r="AS28" s="55" t="s">
        <v>23</v>
      </c>
      <c r="AT28" s="55" t="s">
        <v>22</v>
      </c>
      <c r="AU28" s="55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82</v>
      </c>
      <c r="G29" s="75"/>
      <c r="H29" s="76"/>
      <c r="I29" s="74">
        <v>69</v>
      </c>
      <c r="J29" s="75"/>
      <c r="K29" s="76"/>
      <c r="L29" s="74">
        <v>86</v>
      </c>
      <c r="M29" s="75"/>
      <c r="N29" s="76"/>
      <c r="O29" s="74">
        <f t="shared" si="0"/>
        <v>155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200</v>
      </c>
      <c r="AB29" s="75"/>
      <c r="AC29" s="75"/>
      <c r="AD29" s="76"/>
      <c r="AE29" s="74">
        <v>199</v>
      </c>
      <c r="AF29" s="75"/>
      <c r="AG29" s="75"/>
      <c r="AH29" s="76"/>
      <c r="AI29" s="74">
        <v>147</v>
      </c>
      <c r="AJ29" s="75"/>
      <c r="AK29" s="75"/>
      <c r="AL29" s="76"/>
      <c r="AM29" s="70">
        <f t="shared" si="1"/>
        <v>346</v>
      </c>
      <c r="AN29" s="70"/>
      <c r="AO29" s="70"/>
      <c r="AP29" s="70"/>
      <c r="AR29" s="55" t="s">
        <v>8</v>
      </c>
      <c r="AS29" s="9">
        <f>AE31</f>
        <v>11662</v>
      </c>
      <c r="AT29" s="9">
        <v>4323</v>
      </c>
      <c r="AU29" s="8">
        <f>IF(OR(AS29=0,AT29=0),"",ROUNDDOWN(AT29/AS29,4))</f>
        <v>0.37059999999999998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1472</v>
      </c>
      <c r="G30" s="75"/>
      <c r="H30" s="76"/>
      <c r="I30" s="74">
        <v>1460</v>
      </c>
      <c r="J30" s="75"/>
      <c r="K30" s="76"/>
      <c r="L30" s="74">
        <v>1628</v>
      </c>
      <c r="M30" s="75"/>
      <c r="N30" s="76"/>
      <c r="O30" s="74">
        <f t="shared" si="0"/>
        <v>3088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41</v>
      </c>
      <c r="AF30" s="75"/>
      <c r="AG30" s="75"/>
      <c r="AH30" s="76"/>
      <c r="AI30" s="74">
        <v>47</v>
      </c>
      <c r="AJ30" s="75"/>
      <c r="AK30" s="75"/>
      <c r="AL30" s="76"/>
      <c r="AM30" s="70">
        <f t="shared" si="1"/>
        <v>88</v>
      </c>
      <c r="AN30" s="70"/>
      <c r="AO30" s="70"/>
      <c r="AP30" s="70"/>
      <c r="AR30" s="55" t="s">
        <v>6</v>
      </c>
      <c r="AS30" s="9">
        <f>AI31</f>
        <v>12716</v>
      </c>
      <c r="AT30" s="9">
        <v>5823</v>
      </c>
      <c r="AU30" s="8">
        <f>IF(OR(AS30=0,AT30=0),"",ROUNDDOWN(AT30/AS30,4))</f>
        <v>0.45789999999999997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537</v>
      </c>
      <c r="G31" s="75"/>
      <c r="H31" s="76"/>
      <c r="I31" s="74">
        <v>549</v>
      </c>
      <c r="J31" s="75"/>
      <c r="K31" s="76"/>
      <c r="L31" s="74">
        <v>576</v>
      </c>
      <c r="M31" s="75"/>
      <c r="N31" s="76"/>
      <c r="O31" s="74">
        <f t="shared" si="0"/>
        <v>1125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12196</v>
      </c>
      <c r="AB31" s="75"/>
      <c r="AC31" s="75"/>
      <c r="AD31" s="76"/>
      <c r="AE31" s="74">
        <f>SUM(I8:K32,AE8:AH30)</f>
        <v>11662</v>
      </c>
      <c r="AF31" s="75"/>
      <c r="AG31" s="75"/>
      <c r="AH31" s="76"/>
      <c r="AI31" s="74">
        <f>SUM(L8:N32,AI8:AL30)</f>
        <v>12716</v>
      </c>
      <c r="AJ31" s="75"/>
      <c r="AK31" s="75"/>
      <c r="AL31" s="76"/>
      <c r="AM31" s="70">
        <f t="shared" si="1"/>
        <v>24378</v>
      </c>
      <c r="AN31" s="70"/>
      <c r="AO31" s="70"/>
      <c r="AP31" s="70"/>
      <c r="AR31" s="55" t="s">
        <v>15</v>
      </c>
      <c r="AS31" s="9">
        <f>AM31</f>
        <v>24378</v>
      </c>
      <c r="AT31" s="9">
        <f>AT29+AT30</f>
        <v>10146</v>
      </c>
      <c r="AU31" s="8">
        <f>IF(OR(AS31=0,AT31=0),"",ROUNDDOWN(AT31/AS31,4))</f>
        <v>0.41610000000000003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428</v>
      </c>
      <c r="G32" s="68"/>
      <c r="H32" s="69"/>
      <c r="I32" s="67">
        <v>397</v>
      </c>
      <c r="J32" s="68"/>
      <c r="K32" s="69"/>
      <c r="L32" s="67">
        <v>442</v>
      </c>
      <c r="M32" s="68"/>
      <c r="N32" s="69"/>
      <c r="O32" s="67">
        <f t="shared" si="0"/>
        <v>839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53" t="s">
        <v>12</v>
      </c>
      <c r="E34" s="60">
        <f>AM31-24485</f>
        <v>-107</v>
      </c>
      <c r="F34" s="60"/>
      <c r="G34" s="1" t="s">
        <v>0</v>
      </c>
      <c r="L34" s="1" t="s">
        <v>11</v>
      </c>
      <c r="O34" s="61">
        <f>AM31-24884</f>
        <v>-506</v>
      </c>
      <c r="P34" s="61"/>
      <c r="Q34" s="61"/>
      <c r="R34" s="61"/>
      <c r="S34" s="1" t="s">
        <v>0</v>
      </c>
      <c r="AG34" s="53" t="s">
        <v>13</v>
      </c>
      <c r="AH34" s="62">
        <f>AT31</f>
        <v>10146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53" t="s">
        <v>12</v>
      </c>
      <c r="E36" s="61">
        <f>AA31-12190</f>
        <v>6</v>
      </c>
      <c r="F36" s="61"/>
      <c r="G36" s="1" t="s">
        <v>10</v>
      </c>
      <c r="L36" s="1" t="s">
        <v>11</v>
      </c>
      <c r="O36" s="61">
        <f>AA31-12271</f>
        <v>-75</v>
      </c>
      <c r="P36" s="61"/>
      <c r="Q36" s="61"/>
      <c r="R36" s="61"/>
      <c r="S36" s="1" t="s">
        <v>10</v>
      </c>
      <c r="Y36" s="1" t="s">
        <v>9</v>
      </c>
      <c r="AG36" s="53" t="s">
        <v>8</v>
      </c>
      <c r="AH36" s="62">
        <f>AT29</f>
        <v>4323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53"/>
    </row>
    <row r="38" spans="3:39" ht="18.75" customHeight="1" x14ac:dyDescent="0.4">
      <c r="C38" s="54" t="s">
        <v>7</v>
      </c>
      <c r="AG38" s="53" t="s">
        <v>6</v>
      </c>
      <c r="AH38" s="62">
        <f>AT30</f>
        <v>5823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53"/>
    </row>
    <row r="40" spans="3:39" ht="18.75" customHeight="1" x14ac:dyDescent="0.4">
      <c r="C40" s="4" t="s">
        <v>5</v>
      </c>
      <c r="AG40" s="53" t="s">
        <v>4</v>
      </c>
      <c r="AH40" s="63">
        <f>IF(OR(AH34=0,AM31=0),"",ROUNDDOWN(AH34/AM31*100,2))</f>
        <v>41.61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8</v>
      </c>
      <c r="H42" s="57"/>
      <c r="I42" s="1" t="s">
        <v>0</v>
      </c>
      <c r="L42" s="1" t="s">
        <v>1</v>
      </c>
      <c r="T42" s="57">
        <v>42</v>
      </c>
      <c r="U42" s="57"/>
      <c r="V42" s="1" t="s">
        <v>0</v>
      </c>
    </row>
  </sheetData>
  <mergeCells count="286">
    <mergeCell ref="E36:F36"/>
    <mergeCell ref="O36:R36"/>
    <mergeCell ref="AH36:AL36"/>
    <mergeCell ref="AH38:AL38"/>
    <mergeCell ref="AH40:AL40"/>
    <mergeCell ref="G42:H42"/>
    <mergeCell ref="T42:U42"/>
    <mergeCell ref="AA32:AD32"/>
    <mergeCell ref="AE32:AH32"/>
    <mergeCell ref="AI32:AL32"/>
    <mergeCell ref="AM32:AP32"/>
    <mergeCell ref="E34:F34"/>
    <mergeCell ref="O34:R34"/>
    <mergeCell ref="AH34:AL34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S32:Z32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2" zoomScaleNormal="100" workbookViewId="0">
      <selection activeCell="AX9" sqref="AX9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6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13"/>
      <c r="H3" s="13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16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16"/>
      <c r="H4" s="11"/>
      <c r="I4" s="62" t="s">
        <v>10</v>
      </c>
      <c r="J4" s="62"/>
      <c r="K4" s="62"/>
      <c r="L4" s="62">
        <v>11204</v>
      </c>
      <c r="M4" s="62"/>
      <c r="N4" s="62"/>
      <c r="O4" s="14"/>
      <c r="P4" s="14"/>
      <c r="Q4" s="86" t="s">
        <v>71</v>
      </c>
      <c r="R4" s="86"/>
      <c r="S4" s="86"/>
      <c r="T4" s="93">
        <v>118.23</v>
      </c>
      <c r="U4" s="93"/>
      <c r="V4" s="93"/>
      <c r="W4" s="93"/>
      <c r="X4" s="14" t="s">
        <v>70</v>
      </c>
      <c r="Y4" s="14"/>
      <c r="Z4" s="14"/>
      <c r="AF4" s="6"/>
      <c r="AH4" s="16"/>
      <c r="AK4" s="13"/>
      <c r="AL4" s="16"/>
      <c r="AM4" s="14"/>
      <c r="AP4" s="13"/>
    </row>
    <row r="5" spans="2:44" ht="18.75" customHeight="1" x14ac:dyDescent="0.4">
      <c r="Z5" s="16"/>
      <c r="AA5" s="16"/>
      <c r="AB5" s="16"/>
      <c r="AC5" s="16"/>
      <c r="AD5" s="77" t="s">
        <v>75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1775</v>
      </c>
      <c r="G8" s="80"/>
      <c r="H8" s="81"/>
      <c r="I8" s="79">
        <v>1803</v>
      </c>
      <c r="J8" s="80"/>
      <c r="K8" s="81"/>
      <c r="L8" s="79">
        <v>1967</v>
      </c>
      <c r="M8" s="80"/>
      <c r="N8" s="81"/>
      <c r="O8" s="79">
        <f t="shared" ref="O8:O32" si="0">I8+L8</f>
        <v>3770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475</v>
      </c>
      <c r="AB8" s="80"/>
      <c r="AC8" s="80"/>
      <c r="AD8" s="81"/>
      <c r="AE8" s="79">
        <v>505</v>
      </c>
      <c r="AF8" s="80"/>
      <c r="AG8" s="80"/>
      <c r="AH8" s="81"/>
      <c r="AI8" s="79">
        <v>547</v>
      </c>
      <c r="AJ8" s="80"/>
      <c r="AK8" s="80"/>
      <c r="AL8" s="81"/>
      <c r="AM8" s="85">
        <f t="shared" ref="AM8:AM31" si="1">AE8+AI8</f>
        <v>1052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90</v>
      </c>
      <c r="G9" s="75"/>
      <c r="H9" s="76"/>
      <c r="I9" s="74">
        <v>90</v>
      </c>
      <c r="J9" s="75"/>
      <c r="K9" s="76"/>
      <c r="L9" s="74">
        <v>67</v>
      </c>
      <c r="M9" s="75"/>
      <c r="N9" s="76"/>
      <c r="O9" s="74">
        <f t="shared" si="0"/>
        <v>157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58</v>
      </c>
      <c r="AF9" s="75"/>
      <c r="AG9" s="75"/>
      <c r="AH9" s="76"/>
      <c r="AI9" s="74">
        <v>65</v>
      </c>
      <c r="AJ9" s="75"/>
      <c r="AK9" s="75"/>
      <c r="AL9" s="76"/>
      <c r="AM9" s="70">
        <f t="shared" si="1"/>
        <v>123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218</v>
      </c>
      <c r="G10" s="75"/>
      <c r="H10" s="76"/>
      <c r="I10" s="74">
        <v>187</v>
      </c>
      <c r="J10" s="75"/>
      <c r="K10" s="76"/>
      <c r="L10" s="74">
        <v>210</v>
      </c>
      <c r="M10" s="75"/>
      <c r="N10" s="76"/>
      <c r="O10" s="74">
        <f t="shared" si="0"/>
        <v>397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275</v>
      </c>
      <c r="AB10" s="75"/>
      <c r="AC10" s="75"/>
      <c r="AD10" s="76"/>
      <c r="AE10" s="74">
        <v>258</v>
      </c>
      <c r="AF10" s="75"/>
      <c r="AG10" s="75"/>
      <c r="AH10" s="76"/>
      <c r="AI10" s="74">
        <v>298</v>
      </c>
      <c r="AJ10" s="75"/>
      <c r="AK10" s="75"/>
      <c r="AL10" s="76"/>
      <c r="AM10" s="70">
        <f t="shared" si="1"/>
        <v>556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118</v>
      </c>
      <c r="G11" s="75"/>
      <c r="H11" s="76"/>
      <c r="I11" s="74">
        <v>105</v>
      </c>
      <c r="J11" s="75"/>
      <c r="K11" s="76"/>
      <c r="L11" s="74">
        <v>122</v>
      </c>
      <c r="M11" s="75"/>
      <c r="N11" s="76"/>
      <c r="O11" s="74">
        <f t="shared" si="0"/>
        <v>227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431</v>
      </c>
      <c r="AB11" s="75"/>
      <c r="AC11" s="75"/>
      <c r="AD11" s="76"/>
      <c r="AE11" s="74">
        <v>466</v>
      </c>
      <c r="AF11" s="75"/>
      <c r="AG11" s="75"/>
      <c r="AH11" s="76"/>
      <c r="AI11" s="74">
        <v>510</v>
      </c>
      <c r="AJ11" s="75"/>
      <c r="AK11" s="75"/>
      <c r="AL11" s="76"/>
      <c r="AM11" s="70">
        <f t="shared" si="1"/>
        <v>976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153</v>
      </c>
      <c r="G12" s="75"/>
      <c r="H12" s="76"/>
      <c r="I12" s="74">
        <v>154</v>
      </c>
      <c r="J12" s="75"/>
      <c r="K12" s="76"/>
      <c r="L12" s="74">
        <v>162</v>
      </c>
      <c r="M12" s="75"/>
      <c r="N12" s="76"/>
      <c r="O12" s="74">
        <f t="shared" si="0"/>
        <v>316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173</v>
      </c>
      <c r="AB12" s="75"/>
      <c r="AC12" s="75"/>
      <c r="AD12" s="76"/>
      <c r="AE12" s="74">
        <v>162</v>
      </c>
      <c r="AF12" s="75"/>
      <c r="AG12" s="75"/>
      <c r="AH12" s="76"/>
      <c r="AI12" s="74">
        <v>186</v>
      </c>
      <c r="AJ12" s="75"/>
      <c r="AK12" s="75"/>
      <c r="AL12" s="76"/>
      <c r="AM12" s="70">
        <f t="shared" si="1"/>
        <v>348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105</v>
      </c>
      <c r="G13" s="75"/>
      <c r="H13" s="76"/>
      <c r="I13" s="74">
        <v>92</v>
      </c>
      <c r="J13" s="75"/>
      <c r="K13" s="76"/>
      <c r="L13" s="74">
        <v>93</v>
      </c>
      <c r="M13" s="75"/>
      <c r="N13" s="76"/>
      <c r="O13" s="74">
        <f t="shared" si="0"/>
        <v>185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130</v>
      </c>
      <c r="AF13" s="75"/>
      <c r="AG13" s="75"/>
      <c r="AH13" s="76"/>
      <c r="AI13" s="74">
        <v>130</v>
      </c>
      <c r="AJ13" s="75"/>
      <c r="AK13" s="75"/>
      <c r="AL13" s="76"/>
      <c r="AM13" s="70">
        <f t="shared" si="1"/>
        <v>260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6</v>
      </c>
      <c r="G14" s="75"/>
      <c r="H14" s="76"/>
      <c r="I14" s="74">
        <v>7</v>
      </c>
      <c r="J14" s="75"/>
      <c r="K14" s="76"/>
      <c r="L14" s="74">
        <v>3</v>
      </c>
      <c r="M14" s="75"/>
      <c r="N14" s="76"/>
      <c r="O14" s="74">
        <f t="shared" si="0"/>
        <v>10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1371</v>
      </c>
      <c r="AB14" s="75"/>
      <c r="AC14" s="75"/>
      <c r="AD14" s="76"/>
      <c r="AE14" s="74">
        <v>1288</v>
      </c>
      <c r="AF14" s="75"/>
      <c r="AG14" s="75"/>
      <c r="AH14" s="76"/>
      <c r="AI14" s="74">
        <v>1449</v>
      </c>
      <c r="AJ14" s="75"/>
      <c r="AK14" s="75"/>
      <c r="AL14" s="76"/>
      <c r="AM14" s="70">
        <f t="shared" si="1"/>
        <v>2737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245</v>
      </c>
      <c r="G15" s="75"/>
      <c r="H15" s="76"/>
      <c r="I15" s="74">
        <v>246</v>
      </c>
      <c r="J15" s="75"/>
      <c r="K15" s="76"/>
      <c r="L15" s="74">
        <v>281</v>
      </c>
      <c r="M15" s="75"/>
      <c r="N15" s="76"/>
      <c r="O15" s="74">
        <f t="shared" si="0"/>
        <v>527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7</v>
      </c>
      <c r="AF15" s="75"/>
      <c r="AG15" s="75"/>
      <c r="AH15" s="76"/>
      <c r="AI15" s="74">
        <v>6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237</v>
      </c>
      <c r="G16" s="75"/>
      <c r="H16" s="76"/>
      <c r="I16" s="74">
        <v>217</v>
      </c>
      <c r="J16" s="75"/>
      <c r="K16" s="76"/>
      <c r="L16" s="74">
        <v>249</v>
      </c>
      <c r="M16" s="75"/>
      <c r="N16" s="76"/>
      <c r="O16" s="74">
        <f t="shared" si="0"/>
        <v>466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43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94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119</v>
      </c>
      <c r="G17" s="75"/>
      <c r="H17" s="76"/>
      <c r="I17" s="74">
        <v>154</v>
      </c>
      <c r="J17" s="75"/>
      <c r="K17" s="76"/>
      <c r="L17" s="74">
        <v>179</v>
      </c>
      <c r="M17" s="75"/>
      <c r="N17" s="76"/>
      <c r="O17" s="74">
        <f t="shared" si="0"/>
        <v>333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246</v>
      </c>
      <c r="AB17" s="75"/>
      <c r="AC17" s="75"/>
      <c r="AD17" s="76"/>
      <c r="AE17" s="74">
        <v>225</v>
      </c>
      <c r="AF17" s="75"/>
      <c r="AG17" s="75"/>
      <c r="AH17" s="76"/>
      <c r="AI17" s="74">
        <v>257</v>
      </c>
      <c r="AJ17" s="75"/>
      <c r="AK17" s="75"/>
      <c r="AL17" s="76"/>
      <c r="AM17" s="70">
        <f t="shared" si="1"/>
        <v>482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154</v>
      </c>
      <c r="J18" s="75"/>
      <c r="K18" s="76"/>
      <c r="L18" s="74">
        <v>181</v>
      </c>
      <c r="M18" s="75"/>
      <c r="N18" s="76"/>
      <c r="O18" s="74">
        <f t="shared" si="0"/>
        <v>335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239</v>
      </c>
      <c r="AB18" s="75"/>
      <c r="AC18" s="75"/>
      <c r="AD18" s="76"/>
      <c r="AE18" s="74">
        <v>200</v>
      </c>
      <c r="AF18" s="75"/>
      <c r="AG18" s="75"/>
      <c r="AH18" s="76"/>
      <c r="AI18" s="74">
        <v>210</v>
      </c>
      <c r="AJ18" s="75"/>
      <c r="AK18" s="75"/>
      <c r="AL18" s="76"/>
      <c r="AM18" s="70">
        <f t="shared" si="1"/>
        <v>410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153</v>
      </c>
      <c r="G19" s="75"/>
      <c r="H19" s="76"/>
      <c r="I19" s="74">
        <v>138</v>
      </c>
      <c r="J19" s="75"/>
      <c r="K19" s="76"/>
      <c r="L19" s="74">
        <v>155</v>
      </c>
      <c r="M19" s="75"/>
      <c r="N19" s="76"/>
      <c r="O19" s="74">
        <f t="shared" si="0"/>
        <v>293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73</v>
      </c>
      <c r="AB19" s="75"/>
      <c r="AC19" s="75"/>
      <c r="AD19" s="76"/>
      <c r="AE19" s="74">
        <v>50</v>
      </c>
      <c r="AF19" s="75"/>
      <c r="AG19" s="75"/>
      <c r="AH19" s="76"/>
      <c r="AI19" s="74">
        <v>64</v>
      </c>
      <c r="AJ19" s="75"/>
      <c r="AK19" s="75"/>
      <c r="AL19" s="76"/>
      <c r="AM19" s="70">
        <f t="shared" si="1"/>
        <v>114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78</v>
      </c>
      <c r="G20" s="75"/>
      <c r="H20" s="76"/>
      <c r="I20" s="74">
        <v>68</v>
      </c>
      <c r="J20" s="75"/>
      <c r="K20" s="76"/>
      <c r="L20" s="74">
        <v>64</v>
      </c>
      <c r="M20" s="75"/>
      <c r="N20" s="76"/>
      <c r="O20" s="74">
        <f t="shared" si="0"/>
        <v>132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114</v>
      </c>
      <c r="AB20" s="75"/>
      <c r="AC20" s="75"/>
      <c r="AD20" s="76"/>
      <c r="AE20" s="74">
        <v>98</v>
      </c>
      <c r="AF20" s="75"/>
      <c r="AG20" s="75"/>
      <c r="AH20" s="76"/>
      <c r="AI20" s="74">
        <v>130</v>
      </c>
      <c r="AJ20" s="75"/>
      <c r="AK20" s="75"/>
      <c r="AL20" s="76"/>
      <c r="AM20" s="70">
        <f t="shared" si="1"/>
        <v>228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80</v>
      </c>
      <c r="G21" s="75"/>
      <c r="H21" s="76"/>
      <c r="I21" s="74">
        <v>48</v>
      </c>
      <c r="J21" s="75"/>
      <c r="K21" s="76"/>
      <c r="L21" s="74">
        <v>72</v>
      </c>
      <c r="M21" s="75"/>
      <c r="N21" s="76"/>
      <c r="O21" s="74">
        <f t="shared" si="0"/>
        <v>120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114</v>
      </c>
      <c r="AB21" s="75"/>
      <c r="AC21" s="75"/>
      <c r="AD21" s="76"/>
      <c r="AE21" s="74">
        <v>101</v>
      </c>
      <c r="AF21" s="75"/>
      <c r="AG21" s="75"/>
      <c r="AH21" s="76"/>
      <c r="AI21" s="74">
        <v>121</v>
      </c>
      <c r="AJ21" s="75"/>
      <c r="AK21" s="75"/>
      <c r="AL21" s="76"/>
      <c r="AM21" s="70">
        <f t="shared" si="1"/>
        <v>222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4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252</v>
      </c>
      <c r="AB22" s="75"/>
      <c r="AC22" s="75"/>
      <c r="AD22" s="76"/>
      <c r="AE22" s="74">
        <v>254</v>
      </c>
      <c r="AF22" s="75"/>
      <c r="AG22" s="75"/>
      <c r="AH22" s="76"/>
      <c r="AI22" s="74">
        <v>296</v>
      </c>
      <c r="AJ22" s="75"/>
      <c r="AK22" s="75"/>
      <c r="AL22" s="76"/>
      <c r="AM22" s="70">
        <f t="shared" si="1"/>
        <v>550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4">
        <v>184</v>
      </c>
      <c r="M23" s="75"/>
      <c r="N23" s="76"/>
      <c r="O23" s="74">
        <f t="shared" si="0"/>
        <v>347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25</v>
      </c>
      <c r="AB23" s="75"/>
      <c r="AC23" s="75"/>
      <c r="AD23" s="76"/>
      <c r="AE23" s="74">
        <v>16</v>
      </c>
      <c r="AF23" s="75"/>
      <c r="AG23" s="75"/>
      <c r="AH23" s="76"/>
      <c r="AI23" s="74">
        <v>22</v>
      </c>
      <c r="AJ23" s="75"/>
      <c r="AK23" s="75"/>
      <c r="AL23" s="76"/>
      <c r="AM23" s="70">
        <f t="shared" si="1"/>
        <v>38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226</v>
      </c>
      <c r="G24" s="75"/>
      <c r="H24" s="76"/>
      <c r="I24" s="74">
        <v>238</v>
      </c>
      <c r="J24" s="75"/>
      <c r="K24" s="76"/>
      <c r="L24" s="74">
        <v>237</v>
      </c>
      <c r="M24" s="75"/>
      <c r="N24" s="76"/>
      <c r="O24" s="74">
        <f t="shared" si="0"/>
        <v>475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143</v>
      </c>
      <c r="AB24" s="75"/>
      <c r="AC24" s="75"/>
      <c r="AD24" s="76"/>
      <c r="AE24" s="74">
        <v>126</v>
      </c>
      <c r="AF24" s="75"/>
      <c r="AG24" s="75"/>
      <c r="AH24" s="76"/>
      <c r="AI24" s="74">
        <v>133</v>
      </c>
      <c r="AJ24" s="75"/>
      <c r="AK24" s="75"/>
      <c r="AL24" s="76"/>
      <c r="AM24" s="70">
        <f t="shared" si="1"/>
        <v>259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182</v>
      </c>
      <c r="G25" s="75"/>
      <c r="H25" s="76"/>
      <c r="I25" s="74">
        <v>163</v>
      </c>
      <c r="J25" s="75"/>
      <c r="K25" s="76"/>
      <c r="L25" s="74">
        <v>182</v>
      </c>
      <c r="M25" s="75"/>
      <c r="N25" s="76"/>
      <c r="O25" s="74">
        <f t="shared" si="0"/>
        <v>345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239</v>
      </c>
      <c r="AB25" s="75"/>
      <c r="AC25" s="75"/>
      <c r="AD25" s="76"/>
      <c r="AE25" s="74">
        <v>190</v>
      </c>
      <c r="AF25" s="75"/>
      <c r="AG25" s="75"/>
      <c r="AH25" s="76"/>
      <c r="AI25" s="74">
        <v>196</v>
      </c>
      <c r="AJ25" s="75"/>
      <c r="AK25" s="75"/>
      <c r="AL25" s="76"/>
      <c r="AM25" s="70">
        <f t="shared" si="1"/>
        <v>386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170</v>
      </c>
      <c r="G26" s="75"/>
      <c r="H26" s="76"/>
      <c r="I26" s="74">
        <v>159</v>
      </c>
      <c r="J26" s="75"/>
      <c r="K26" s="76"/>
      <c r="L26" s="74">
        <v>181</v>
      </c>
      <c r="M26" s="75"/>
      <c r="N26" s="76"/>
      <c r="O26" s="74">
        <f t="shared" si="0"/>
        <v>340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153</v>
      </c>
      <c r="AB26" s="75"/>
      <c r="AC26" s="75"/>
      <c r="AD26" s="76"/>
      <c r="AE26" s="74">
        <v>131</v>
      </c>
      <c r="AF26" s="75"/>
      <c r="AG26" s="75"/>
      <c r="AH26" s="76"/>
      <c r="AI26" s="74">
        <v>150</v>
      </c>
      <c r="AJ26" s="75"/>
      <c r="AK26" s="75"/>
      <c r="AL26" s="76"/>
      <c r="AM26" s="70">
        <f t="shared" si="1"/>
        <v>281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146</v>
      </c>
      <c r="G27" s="75"/>
      <c r="H27" s="76"/>
      <c r="I27" s="74">
        <v>131</v>
      </c>
      <c r="J27" s="75"/>
      <c r="K27" s="76"/>
      <c r="L27" s="74">
        <v>152</v>
      </c>
      <c r="M27" s="75"/>
      <c r="N27" s="76"/>
      <c r="O27" s="74">
        <f t="shared" si="0"/>
        <v>283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187</v>
      </c>
      <c r="AB27" s="75"/>
      <c r="AC27" s="75"/>
      <c r="AD27" s="76"/>
      <c r="AE27" s="74">
        <v>162</v>
      </c>
      <c r="AF27" s="75"/>
      <c r="AG27" s="75"/>
      <c r="AH27" s="76"/>
      <c r="AI27" s="74">
        <v>124</v>
      </c>
      <c r="AJ27" s="75"/>
      <c r="AK27" s="75"/>
      <c r="AL27" s="76"/>
      <c r="AM27" s="70">
        <f t="shared" si="1"/>
        <v>286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210</v>
      </c>
      <c r="AB28" s="75"/>
      <c r="AC28" s="75"/>
      <c r="AD28" s="76"/>
      <c r="AE28" s="74">
        <v>180</v>
      </c>
      <c r="AF28" s="75"/>
      <c r="AG28" s="75"/>
      <c r="AH28" s="76"/>
      <c r="AI28" s="74">
        <v>211</v>
      </c>
      <c r="AJ28" s="75"/>
      <c r="AK28" s="75"/>
      <c r="AL28" s="76"/>
      <c r="AM28" s="70">
        <f t="shared" si="1"/>
        <v>391</v>
      </c>
      <c r="AN28" s="70"/>
      <c r="AO28" s="70"/>
      <c r="AP28" s="70"/>
      <c r="AR28" s="15"/>
      <c r="AS28" s="15" t="s">
        <v>23</v>
      </c>
      <c r="AT28" s="15" t="s">
        <v>22</v>
      </c>
      <c r="AU28" s="15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69</v>
      </c>
      <c r="J29" s="75"/>
      <c r="K29" s="76"/>
      <c r="L29" s="74">
        <v>88</v>
      </c>
      <c r="M29" s="75"/>
      <c r="N29" s="76"/>
      <c r="O29" s="74">
        <f t="shared" si="0"/>
        <v>157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217</v>
      </c>
      <c r="AB29" s="75"/>
      <c r="AC29" s="75"/>
      <c r="AD29" s="76"/>
      <c r="AE29" s="74">
        <v>222</v>
      </c>
      <c r="AF29" s="75"/>
      <c r="AG29" s="75"/>
      <c r="AH29" s="76"/>
      <c r="AI29" s="74">
        <v>161</v>
      </c>
      <c r="AJ29" s="75"/>
      <c r="AK29" s="75"/>
      <c r="AL29" s="76"/>
      <c r="AM29" s="70">
        <f t="shared" si="1"/>
        <v>383</v>
      </c>
      <c r="AN29" s="70"/>
      <c r="AO29" s="70"/>
      <c r="AP29" s="70"/>
      <c r="AR29" s="15" t="s">
        <v>8</v>
      </c>
      <c r="AS29" s="9">
        <f>AE31</f>
        <v>11877</v>
      </c>
      <c r="AT29" s="9">
        <v>4334</v>
      </c>
      <c r="AU29" s="8">
        <f>IF(OR(AS29=0,AT29=0),"",ROUNDDOWN(AT29/AS29,4))</f>
        <v>0.3649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1480</v>
      </c>
      <c r="G30" s="75"/>
      <c r="H30" s="76"/>
      <c r="I30" s="74">
        <v>1512</v>
      </c>
      <c r="J30" s="75"/>
      <c r="K30" s="76"/>
      <c r="L30" s="74">
        <v>1637</v>
      </c>
      <c r="M30" s="75"/>
      <c r="N30" s="76"/>
      <c r="O30" s="74">
        <f t="shared" si="0"/>
        <v>3149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42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88</v>
      </c>
      <c r="AN30" s="70"/>
      <c r="AO30" s="70"/>
      <c r="AP30" s="70"/>
      <c r="AR30" s="15" t="s">
        <v>6</v>
      </c>
      <c r="AS30" s="9">
        <f>AI31</f>
        <v>12967</v>
      </c>
      <c r="AT30" s="9">
        <v>5827</v>
      </c>
      <c r="AU30" s="8">
        <f>IF(OR(AS30=0,AT30=0),"",ROUNDDOWN(AT30/AS30,4))</f>
        <v>0.44929999999999998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536</v>
      </c>
      <c r="G31" s="75"/>
      <c r="H31" s="76"/>
      <c r="I31" s="74">
        <v>565</v>
      </c>
      <c r="J31" s="75"/>
      <c r="K31" s="76"/>
      <c r="L31" s="74">
        <v>588</v>
      </c>
      <c r="M31" s="75"/>
      <c r="N31" s="76"/>
      <c r="O31" s="74">
        <f t="shared" si="0"/>
        <v>1153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12300</v>
      </c>
      <c r="AB31" s="75"/>
      <c r="AC31" s="75"/>
      <c r="AD31" s="76"/>
      <c r="AE31" s="74">
        <f>SUM(I8:K32,AE8:AH30)</f>
        <v>11877</v>
      </c>
      <c r="AF31" s="75"/>
      <c r="AG31" s="75"/>
      <c r="AH31" s="76"/>
      <c r="AI31" s="74">
        <f>SUM(L8:N32,AI8:AL30)</f>
        <v>12967</v>
      </c>
      <c r="AJ31" s="75"/>
      <c r="AK31" s="75"/>
      <c r="AL31" s="76"/>
      <c r="AM31" s="70">
        <f t="shared" si="1"/>
        <v>24844</v>
      </c>
      <c r="AN31" s="70"/>
      <c r="AO31" s="70"/>
      <c r="AP31" s="70"/>
      <c r="AR31" s="15" t="s">
        <v>15</v>
      </c>
      <c r="AS31" s="9">
        <f>AM31</f>
        <v>24844</v>
      </c>
      <c r="AT31" s="9">
        <f>AT29+AT30</f>
        <v>10161</v>
      </c>
      <c r="AU31" s="8">
        <f>IF(OR(AS31=0,AT31=0),"",ROUNDDOWN(AT31/AS31,4))</f>
        <v>0.40889999999999999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448</v>
      </c>
      <c r="G32" s="68"/>
      <c r="H32" s="69"/>
      <c r="I32" s="67">
        <v>422</v>
      </c>
      <c r="J32" s="68"/>
      <c r="K32" s="69"/>
      <c r="L32" s="67">
        <v>458</v>
      </c>
      <c r="M32" s="68"/>
      <c r="N32" s="69"/>
      <c r="O32" s="67">
        <f t="shared" si="0"/>
        <v>880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13" t="s">
        <v>12</v>
      </c>
      <c r="E34" s="60">
        <f>AM31-24869</f>
        <v>-25</v>
      </c>
      <c r="F34" s="60"/>
      <c r="G34" s="1" t="s">
        <v>0</v>
      </c>
      <c r="L34" s="1" t="s">
        <v>11</v>
      </c>
      <c r="O34" s="61">
        <f>AM31-25370</f>
        <v>-526</v>
      </c>
      <c r="P34" s="61"/>
      <c r="Q34" s="61"/>
      <c r="R34" s="61"/>
      <c r="S34" s="1" t="s">
        <v>0</v>
      </c>
      <c r="AG34" s="13" t="s">
        <v>13</v>
      </c>
      <c r="AH34" s="62">
        <f>AT31</f>
        <v>10161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13" t="s">
        <v>12</v>
      </c>
      <c r="E36" s="61">
        <f>AA31-12297</f>
        <v>3</v>
      </c>
      <c r="F36" s="61"/>
      <c r="G36" s="1" t="s">
        <v>10</v>
      </c>
      <c r="L36" s="1" t="s">
        <v>11</v>
      </c>
      <c r="O36" s="61">
        <f>AA31-12356</f>
        <v>-56</v>
      </c>
      <c r="P36" s="61"/>
      <c r="Q36" s="61"/>
      <c r="R36" s="61"/>
      <c r="S36" s="1" t="s">
        <v>10</v>
      </c>
      <c r="Y36" s="1" t="s">
        <v>9</v>
      </c>
      <c r="AG36" s="13" t="s">
        <v>8</v>
      </c>
      <c r="AH36" s="62">
        <f>AT29</f>
        <v>4334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13"/>
    </row>
    <row r="38" spans="3:39" ht="18.75" customHeight="1" x14ac:dyDescent="0.4">
      <c r="C38" s="14" t="s">
        <v>7</v>
      </c>
      <c r="AG38" s="13" t="s">
        <v>6</v>
      </c>
      <c r="AH38" s="62">
        <f>AT30</f>
        <v>5827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13"/>
    </row>
    <row r="40" spans="3:39" ht="18.75" customHeight="1" x14ac:dyDescent="0.4">
      <c r="C40" s="4" t="s">
        <v>5</v>
      </c>
      <c r="AG40" s="13" t="s">
        <v>4</v>
      </c>
      <c r="AH40" s="63">
        <f>IF(OR(AH34=0,AM31=0),"",ROUNDDOWN(AH34/AM31*100,2))</f>
        <v>40.89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8</v>
      </c>
      <c r="H42" s="57"/>
      <c r="I42" s="1" t="s">
        <v>0</v>
      </c>
      <c r="L42" s="1" t="s">
        <v>1</v>
      </c>
      <c r="T42" s="57">
        <v>31</v>
      </c>
      <c r="U42" s="57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9" zoomScaleNormal="100" zoomScaleSheetLayoutView="100" workbookViewId="0">
      <selection activeCell="AS9" sqref="AS9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0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17"/>
      <c r="H3" s="17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20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20"/>
      <c r="H4" s="11"/>
      <c r="I4" s="62" t="s">
        <v>10</v>
      </c>
      <c r="J4" s="62"/>
      <c r="K4" s="62"/>
      <c r="L4" s="62">
        <v>11204</v>
      </c>
      <c r="M4" s="62"/>
      <c r="N4" s="62"/>
      <c r="O4" s="18"/>
      <c r="P4" s="18"/>
      <c r="Q4" s="86" t="s">
        <v>71</v>
      </c>
      <c r="R4" s="86"/>
      <c r="S4" s="86"/>
      <c r="T4" s="93">
        <v>118.23</v>
      </c>
      <c r="U4" s="93"/>
      <c r="V4" s="93"/>
      <c r="W4" s="93"/>
      <c r="X4" s="18" t="s">
        <v>70</v>
      </c>
      <c r="Y4" s="18"/>
      <c r="Z4" s="18"/>
      <c r="AF4" s="6"/>
      <c r="AH4" s="20"/>
      <c r="AK4" s="17"/>
      <c r="AL4" s="20"/>
      <c r="AM4" s="18"/>
      <c r="AP4" s="17"/>
    </row>
    <row r="5" spans="2:44" ht="18.75" customHeight="1" x14ac:dyDescent="0.4">
      <c r="Z5" s="20"/>
      <c r="AA5" s="20"/>
      <c r="AB5" s="20"/>
      <c r="AC5" s="20"/>
      <c r="AD5" s="77" t="s">
        <v>76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1775</v>
      </c>
      <c r="G8" s="80"/>
      <c r="H8" s="81"/>
      <c r="I8" s="79">
        <v>1800</v>
      </c>
      <c r="J8" s="80"/>
      <c r="K8" s="81"/>
      <c r="L8" s="80">
        <v>1962</v>
      </c>
      <c r="M8" s="80"/>
      <c r="N8" s="81"/>
      <c r="O8" s="79">
        <f t="shared" ref="O8:O32" si="0">I8+L8</f>
        <v>3762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474</v>
      </c>
      <c r="AB8" s="80"/>
      <c r="AC8" s="80"/>
      <c r="AD8" s="81"/>
      <c r="AE8" s="79">
        <v>504</v>
      </c>
      <c r="AF8" s="80"/>
      <c r="AG8" s="80"/>
      <c r="AH8" s="81"/>
      <c r="AI8" s="79">
        <v>544</v>
      </c>
      <c r="AJ8" s="80"/>
      <c r="AK8" s="80"/>
      <c r="AL8" s="81"/>
      <c r="AM8" s="85">
        <f t="shared" ref="AM8:AM31" si="1">AE8+AI8</f>
        <v>1048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91</v>
      </c>
      <c r="G9" s="75"/>
      <c r="H9" s="76"/>
      <c r="I9" s="74">
        <v>90</v>
      </c>
      <c r="J9" s="75"/>
      <c r="K9" s="76"/>
      <c r="L9" s="75">
        <v>68</v>
      </c>
      <c r="M9" s="75"/>
      <c r="N9" s="76"/>
      <c r="O9" s="74">
        <f t="shared" si="0"/>
        <v>158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58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216</v>
      </c>
      <c r="G10" s="75"/>
      <c r="H10" s="76"/>
      <c r="I10" s="74">
        <v>184</v>
      </c>
      <c r="J10" s="75"/>
      <c r="K10" s="76"/>
      <c r="L10" s="75">
        <v>209</v>
      </c>
      <c r="M10" s="75"/>
      <c r="N10" s="76"/>
      <c r="O10" s="74">
        <f t="shared" si="0"/>
        <v>393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276</v>
      </c>
      <c r="AB10" s="75"/>
      <c r="AC10" s="75"/>
      <c r="AD10" s="76"/>
      <c r="AE10" s="74">
        <v>259</v>
      </c>
      <c r="AF10" s="75"/>
      <c r="AG10" s="75"/>
      <c r="AH10" s="76"/>
      <c r="AI10" s="74">
        <v>299</v>
      </c>
      <c r="AJ10" s="75"/>
      <c r="AK10" s="75"/>
      <c r="AL10" s="76"/>
      <c r="AM10" s="70">
        <f t="shared" si="1"/>
        <v>558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118</v>
      </c>
      <c r="G11" s="75"/>
      <c r="H11" s="76"/>
      <c r="I11" s="74">
        <v>104</v>
      </c>
      <c r="J11" s="75"/>
      <c r="K11" s="76"/>
      <c r="L11" s="75">
        <v>122</v>
      </c>
      <c r="M11" s="75"/>
      <c r="N11" s="76"/>
      <c r="O11" s="74">
        <f t="shared" si="0"/>
        <v>226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432</v>
      </c>
      <c r="AB11" s="75"/>
      <c r="AC11" s="75"/>
      <c r="AD11" s="76"/>
      <c r="AE11" s="74">
        <v>468</v>
      </c>
      <c r="AF11" s="75"/>
      <c r="AG11" s="75"/>
      <c r="AH11" s="76"/>
      <c r="AI11" s="74">
        <v>510</v>
      </c>
      <c r="AJ11" s="75"/>
      <c r="AK11" s="75"/>
      <c r="AL11" s="76"/>
      <c r="AM11" s="70">
        <f t="shared" si="1"/>
        <v>978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152</v>
      </c>
      <c r="G12" s="75"/>
      <c r="H12" s="76"/>
      <c r="I12" s="74">
        <v>155</v>
      </c>
      <c r="J12" s="75"/>
      <c r="K12" s="76"/>
      <c r="L12" s="75">
        <v>160</v>
      </c>
      <c r="M12" s="75"/>
      <c r="N12" s="76"/>
      <c r="O12" s="74">
        <f t="shared" si="0"/>
        <v>315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173</v>
      </c>
      <c r="AB12" s="75"/>
      <c r="AC12" s="75"/>
      <c r="AD12" s="76"/>
      <c r="AE12" s="74">
        <v>162</v>
      </c>
      <c r="AF12" s="75"/>
      <c r="AG12" s="75"/>
      <c r="AH12" s="76"/>
      <c r="AI12" s="74">
        <v>185</v>
      </c>
      <c r="AJ12" s="75"/>
      <c r="AK12" s="75"/>
      <c r="AL12" s="76"/>
      <c r="AM12" s="70">
        <f t="shared" si="1"/>
        <v>347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103</v>
      </c>
      <c r="G13" s="75"/>
      <c r="H13" s="76"/>
      <c r="I13" s="74">
        <v>90</v>
      </c>
      <c r="J13" s="75"/>
      <c r="K13" s="76"/>
      <c r="L13" s="75">
        <v>93</v>
      </c>
      <c r="M13" s="75"/>
      <c r="N13" s="76"/>
      <c r="O13" s="74">
        <f t="shared" si="0"/>
        <v>183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133</v>
      </c>
      <c r="AB13" s="75"/>
      <c r="AC13" s="75"/>
      <c r="AD13" s="76"/>
      <c r="AE13" s="74">
        <v>130</v>
      </c>
      <c r="AF13" s="75"/>
      <c r="AG13" s="75"/>
      <c r="AH13" s="76"/>
      <c r="AI13" s="74">
        <v>132</v>
      </c>
      <c r="AJ13" s="75"/>
      <c r="AK13" s="75"/>
      <c r="AL13" s="76"/>
      <c r="AM13" s="70">
        <f t="shared" si="1"/>
        <v>262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6</v>
      </c>
      <c r="G14" s="75"/>
      <c r="H14" s="76"/>
      <c r="I14" s="74">
        <v>7</v>
      </c>
      <c r="J14" s="75"/>
      <c r="K14" s="76"/>
      <c r="L14" s="75">
        <v>3</v>
      </c>
      <c r="M14" s="75"/>
      <c r="N14" s="76"/>
      <c r="O14" s="74">
        <f t="shared" si="0"/>
        <v>10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1368</v>
      </c>
      <c r="AB14" s="75"/>
      <c r="AC14" s="75"/>
      <c r="AD14" s="76"/>
      <c r="AE14" s="74">
        <v>1287</v>
      </c>
      <c r="AF14" s="75"/>
      <c r="AG14" s="75"/>
      <c r="AH14" s="76"/>
      <c r="AI14" s="74">
        <v>1448</v>
      </c>
      <c r="AJ14" s="75"/>
      <c r="AK14" s="75"/>
      <c r="AL14" s="76"/>
      <c r="AM14" s="70">
        <f t="shared" si="1"/>
        <v>2735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245</v>
      </c>
      <c r="G15" s="75"/>
      <c r="H15" s="76"/>
      <c r="I15" s="74">
        <v>248</v>
      </c>
      <c r="J15" s="75"/>
      <c r="K15" s="76"/>
      <c r="L15" s="75">
        <v>281</v>
      </c>
      <c r="M15" s="75"/>
      <c r="N15" s="76"/>
      <c r="O15" s="74">
        <f t="shared" si="0"/>
        <v>529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7</v>
      </c>
      <c r="AF15" s="75"/>
      <c r="AG15" s="75"/>
      <c r="AH15" s="76"/>
      <c r="AI15" s="74">
        <v>6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239</v>
      </c>
      <c r="G16" s="75"/>
      <c r="H16" s="76"/>
      <c r="I16" s="74">
        <v>218</v>
      </c>
      <c r="J16" s="75"/>
      <c r="K16" s="76"/>
      <c r="L16" s="75">
        <v>251</v>
      </c>
      <c r="M16" s="75"/>
      <c r="N16" s="76"/>
      <c r="O16" s="74">
        <f t="shared" si="0"/>
        <v>469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43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94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119</v>
      </c>
      <c r="G17" s="75"/>
      <c r="H17" s="76"/>
      <c r="I17" s="74">
        <v>154</v>
      </c>
      <c r="J17" s="75"/>
      <c r="K17" s="76"/>
      <c r="L17" s="75">
        <v>179</v>
      </c>
      <c r="M17" s="75"/>
      <c r="N17" s="76"/>
      <c r="O17" s="74">
        <f t="shared" si="0"/>
        <v>333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245</v>
      </c>
      <c r="AB17" s="75"/>
      <c r="AC17" s="75"/>
      <c r="AD17" s="76"/>
      <c r="AE17" s="74">
        <v>225</v>
      </c>
      <c r="AF17" s="75"/>
      <c r="AG17" s="75"/>
      <c r="AH17" s="76"/>
      <c r="AI17" s="74">
        <v>255</v>
      </c>
      <c r="AJ17" s="75"/>
      <c r="AK17" s="75"/>
      <c r="AL17" s="76"/>
      <c r="AM17" s="70">
        <f t="shared" si="1"/>
        <v>480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146</v>
      </c>
      <c r="G18" s="75"/>
      <c r="H18" s="76"/>
      <c r="I18" s="74">
        <v>152</v>
      </c>
      <c r="J18" s="75"/>
      <c r="K18" s="76"/>
      <c r="L18" s="75">
        <v>181</v>
      </c>
      <c r="M18" s="75"/>
      <c r="N18" s="76"/>
      <c r="O18" s="74">
        <f t="shared" si="0"/>
        <v>333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239</v>
      </c>
      <c r="AB18" s="75"/>
      <c r="AC18" s="75"/>
      <c r="AD18" s="76"/>
      <c r="AE18" s="74">
        <v>200</v>
      </c>
      <c r="AF18" s="75"/>
      <c r="AG18" s="75"/>
      <c r="AH18" s="76"/>
      <c r="AI18" s="74">
        <v>210</v>
      </c>
      <c r="AJ18" s="75"/>
      <c r="AK18" s="75"/>
      <c r="AL18" s="76"/>
      <c r="AM18" s="70">
        <f t="shared" si="1"/>
        <v>410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5">
        <v>155</v>
      </c>
      <c r="M19" s="75"/>
      <c r="N19" s="76"/>
      <c r="O19" s="74">
        <f t="shared" si="0"/>
        <v>294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71</v>
      </c>
      <c r="AB19" s="75"/>
      <c r="AC19" s="75"/>
      <c r="AD19" s="76"/>
      <c r="AE19" s="74">
        <v>50</v>
      </c>
      <c r="AF19" s="75"/>
      <c r="AG19" s="75"/>
      <c r="AH19" s="76"/>
      <c r="AI19" s="74">
        <v>63</v>
      </c>
      <c r="AJ19" s="75"/>
      <c r="AK19" s="75"/>
      <c r="AL19" s="76"/>
      <c r="AM19" s="70">
        <f t="shared" si="1"/>
        <v>113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77</v>
      </c>
      <c r="G20" s="75"/>
      <c r="H20" s="76"/>
      <c r="I20" s="74">
        <v>68</v>
      </c>
      <c r="J20" s="75"/>
      <c r="K20" s="76"/>
      <c r="L20" s="75">
        <v>61</v>
      </c>
      <c r="M20" s="75"/>
      <c r="N20" s="76"/>
      <c r="O20" s="74">
        <f t="shared" si="0"/>
        <v>129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98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227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80</v>
      </c>
      <c r="G21" s="75"/>
      <c r="H21" s="76"/>
      <c r="I21" s="74">
        <v>49</v>
      </c>
      <c r="J21" s="75"/>
      <c r="K21" s="76"/>
      <c r="L21" s="75">
        <v>72</v>
      </c>
      <c r="M21" s="75"/>
      <c r="N21" s="76"/>
      <c r="O21" s="74">
        <f t="shared" si="0"/>
        <v>121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114</v>
      </c>
      <c r="AB21" s="75"/>
      <c r="AC21" s="75"/>
      <c r="AD21" s="76"/>
      <c r="AE21" s="74">
        <v>101</v>
      </c>
      <c r="AF21" s="75"/>
      <c r="AG21" s="75"/>
      <c r="AH21" s="76"/>
      <c r="AI21" s="74">
        <v>121</v>
      </c>
      <c r="AJ21" s="75"/>
      <c r="AK21" s="75"/>
      <c r="AL21" s="76"/>
      <c r="AM21" s="70">
        <f t="shared" si="1"/>
        <v>222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5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251</v>
      </c>
      <c r="AB22" s="75"/>
      <c r="AC22" s="75"/>
      <c r="AD22" s="76"/>
      <c r="AE22" s="74">
        <v>254</v>
      </c>
      <c r="AF22" s="75"/>
      <c r="AG22" s="75"/>
      <c r="AH22" s="76"/>
      <c r="AI22" s="74">
        <v>295</v>
      </c>
      <c r="AJ22" s="75"/>
      <c r="AK22" s="75"/>
      <c r="AL22" s="76"/>
      <c r="AM22" s="70">
        <f t="shared" si="1"/>
        <v>549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5">
        <v>184</v>
      </c>
      <c r="M23" s="75"/>
      <c r="N23" s="76"/>
      <c r="O23" s="74">
        <f t="shared" si="0"/>
        <v>347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20</v>
      </c>
      <c r="AB23" s="75"/>
      <c r="AC23" s="75"/>
      <c r="AD23" s="76"/>
      <c r="AE23" s="74">
        <v>14</v>
      </c>
      <c r="AF23" s="75"/>
      <c r="AG23" s="75"/>
      <c r="AH23" s="76"/>
      <c r="AI23" s="74">
        <v>19</v>
      </c>
      <c r="AJ23" s="75"/>
      <c r="AK23" s="75"/>
      <c r="AL23" s="76"/>
      <c r="AM23" s="70">
        <f t="shared" si="1"/>
        <v>33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226</v>
      </c>
      <c r="G24" s="75"/>
      <c r="H24" s="76"/>
      <c r="I24" s="74">
        <v>238</v>
      </c>
      <c r="J24" s="75"/>
      <c r="K24" s="76"/>
      <c r="L24" s="75">
        <v>238</v>
      </c>
      <c r="M24" s="75"/>
      <c r="N24" s="76"/>
      <c r="O24" s="74">
        <f t="shared" si="0"/>
        <v>476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144</v>
      </c>
      <c r="AB24" s="75"/>
      <c r="AC24" s="75"/>
      <c r="AD24" s="76"/>
      <c r="AE24" s="74">
        <v>127</v>
      </c>
      <c r="AF24" s="75"/>
      <c r="AG24" s="75"/>
      <c r="AH24" s="76"/>
      <c r="AI24" s="74">
        <v>134</v>
      </c>
      <c r="AJ24" s="75"/>
      <c r="AK24" s="75"/>
      <c r="AL24" s="76"/>
      <c r="AM24" s="70">
        <f t="shared" si="1"/>
        <v>261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182</v>
      </c>
      <c r="G25" s="75"/>
      <c r="H25" s="76"/>
      <c r="I25" s="74">
        <v>162</v>
      </c>
      <c r="J25" s="75"/>
      <c r="K25" s="76"/>
      <c r="L25" s="75">
        <v>181</v>
      </c>
      <c r="M25" s="75"/>
      <c r="N25" s="76"/>
      <c r="O25" s="74">
        <f t="shared" si="0"/>
        <v>343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239</v>
      </c>
      <c r="AB25" s="75"/>
      <c r="AC25" s="75"/>
      <c r="AD25" s="76"/>
      <c r="AE25" s="74">
        <v>190</v>
      </c>
      <c r="AF25" s="75"/>
      <c r="AG25" s="75"/>
      <c r="AH25" s="76"/>
      <c r="AI25" s="74">
        <v>196</v>
      </c>
      <c r="AJ25" s="75"/>
      <c r="AK25" s="75"/>
      <c r="AL25" s="76"/>
      <c r="AM25" s="70">
        <f t="shared" si="1"/>
        <v>386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171</v>
      </c>
      <c r="G26" s="75"/>
      <c r="H26" s="76"/>
      <c r="I26" s="74">
        <v>160</v>
      </c>
      <c r="J26" s="75"/>
      <c r="K26" s="76"/>
      <c r="L26" s="75">
        <v>182</v>
      </c>
      <c r="M26" s="75"/>
      <c r="N26" s="76"/>
      <c r="O26" s="74">
        <f t="shared" si="0"/>
        <v>342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152</v>
      </c>
      <c r="AB26" s="75"/>
      <c r="AC26" s="75"/>
      <c r="AD26" s="76"/>
      <c r="AE26" s="74">
        <v>130</v>
      </c>
      <c r="AF26" s="75"/>
      <c r="AG26" s="75"/>
      <c r="AH26" s="76"/>
      <c r="AI26" s="74">
        <v>150</v>
      </c>
      <c r="AJ26" s="75"/>
      <c r="AK26" s="75"/>
      <c r="AL26" s="76"/>
      <c r="AM26" s="70">
        <f t="shared" si="1"/>
        <v>280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147</v>
      </c>
      <c r="G27" s="75"/>
      <c r="H27" s="76"/>
      <c r="I27" s="74">
        <v>132</v>
      </c>
      <c r="J27" s="75"/>
      <c r="K27" s="76"/>
      <c r="L27" s="75">
        <v>151</v>
      </c>
      <c r="M27" s="75"/>
      <c r="N27" s="76"/>
      <c r="O27" s="74">
        <f t="shared" si="0"/>
        <v>283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189</v>
      </c>
      <c r="AB27" s="75"/>
      <c r="AC27" s="75"/>
      <c r="AD27" s="76"/>
      <c r="AE27" s="74">
        <v>164</v>
      </c>
      <c r="AF27" s="75"/>
      <c r="AG27" s="75"/>
      <c r="AH27" s="76"/>
      <c r="AI27" s="74">
        <v>124</v>
      </c>
      <c r="AJ27" s="75"/>
      <c r="AK27" s="75"/>
      <c r="AL27" s="76"/>
      <c r="AM27" s="70">
        <f t="shared" si="1"/>
        <v>288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5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210</v>
      </c>
      <c r="AB28" s="75"/>
      <c r="AC28" s="75"/>
      <c r="AD28" s="76"/>
      <c r="AE28" s="74">
        <v>181</v>
      </c>
      <c r="AF28" s="75"/>
      <c r="AG28" s="75"/>
      <c r="AH28" s="76"/>
      <c r="AI28" s="74">
        <v>211</v>
      </c>
      <c r="AJ28" s="75"/>
      <c r="AK28" s="75"/>
      <c r="AL28" s="76"/>
      <c r="AM28" s="70">
        <f t="shared" si="1"/>
        <v>392</v>
      </c>
      <c r="AN28" s="70"/>
      <c r="AO28" s="70"/>
      <c r="AP28" s="70"/>
      <c r="AR28" s="19"/>
      <c r="AS28" s="19" t="s">
        <v>23</v>
      </c>
      <c r="AT28" s="19" t="s">
        <v>22</v>
      </c>
      <c r="AU28" s="19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68</v>
      </c>
      <c r="J29" s="75"/>
      <c r="K29" s="76"/>
      <c r="L29" s="75">
        <v>87</v>
      </c>
      <c r="M29" s="75"/>
      <c r="N29" s="76"/>
      <c r="O29" s="74">
        <f t="shared" si="0"/>
        <v>155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224</v>
      </c>
      <c r="AB29" s="75"/>
      <c r="AC29" s="75"/>
      <c r="AD29" s="76"/>
      <c r="AE29" s="74">
        <v>228</v>
      </c>
      <c r="AF29" s="75"/>
      <c r="AG29" s="75"/>
      <c r="AH29" s="76"/>
      <c r="AI29" s="74">
        <v>163</v>
      </c>
      <c r="AJ29" s="75"/>
      <c r="AK29" s="75"/>
      <c r="AL29" s="76"/>
      <c r="AM29" s="70">
        <f t="shared" si="1"/>
        <v>391</v>
      </c>
      <c r="AN29" s="70"/>
      <c r="AO29" s="70"/>
      <c r="AP29" s="70"/>
      <c r="AR29" s="19" t="s">
        <v>8</v>
      </c>
      <c r="AS29" s="9">
        <f>AE31</f>
        <v>11870</v>
      </c>
      <c r="AT29" s="9">
        <v>4334</v>
      </c>
      <c r="AU29" s="8">
        <f>IF(OR(AS29=0,AT29=0),"",ROUNDDOWN(AT29/AS29,4))</f>
        <v>0.36509999999999998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1479</v>
      </c>
      <c r="G30" s="75"/>
      <c r="H30" s="76"/>
      <c r="I30" s="74">
        <v>1508</v>
      </c>
      <c r="J30" s="75"/>
      <c r="K30" s="76"/>
      <c r="L30" s="75">
        <v>1640</v>
      </c>
      <c r="M30" s="75"/>
      <c r="N30" s="76"/>
      <c r="O30" s="74">
        <f t="shared" si="0"/>
        <v>3148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41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19" t="s">
        <v>6</v>
      </c>
      <c r="AS30" s="9">
        <f>AI31</f>
        <v>12953</v>
      </c>
      <c r="AT30" s="9">
        <v>5822</v>
      </c>
      <c r="AU30" s="8">
        <f>IF(OR(AS30=0,AT30=0),"",ROUNDDOWN(AT30/AS30,4))</f>
        <v>0.44940000000000002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537</v>
      </c>
      <c r="G31" s="75"/>
      <c r="H31" s="76"/>
      <c r="I31" s="74">
        <v>563</v>
      </c>
      <c r="J31" s="75"/>
      <c r="K31" s="76"/>
      <c r="L31" s="75">
        <v>588</v>
      </c>
      <c r="M31" s="75"/>
      <c r="N31" s="76"/>
      <c r="O31" s="74">
        <f t="shared" si="0"/>
        <v>1151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12295</v>
      </c>
      <c r="AB31" s="75"/>
      <c r="AC31" s="75"/>
      <c r="AD31" s="76"/>
      <c r="AE31" s="74">
        <f>SUM(I8:K32,AE8:AH30)</f>
        <v>11870</v>
      </c>
      <c r="AF31" s="75"/>
      <c r="AG31" s="75"/>
      <c r="AH31" s="76"/>
      <c r="AI31" s="74">
        <f>SUM(L8:N32,AI8:AL30)</f>
        <v>12953</v>
      </c>
      <c r="AJ31" s="75"/>
      <c r="AK31" s="75"/>
      <c r="AL31" s="76"/>
      <c r="AM31" s="70">
        <f t="shared" si="1"/>
        <v>24823</v>
      </c>
      <c r="AN31" s="70"/>
      <c r="AO31" s="70"/>
      <c r="AP31" s="70"/>
      <c r="AR31" s="19" t="s">
        <v>15</v>
      </c>
      <c r="AS31" s="9">
        <f>AM31</f>
        <v>24823</v>
      </c>
      <c r="AT31" s="9">
        <f>AT29+AT30</f>
        <v>10156</v>
      </c>
      <c r="AU31" s="8">
        <f>IF(OR(AS31=0,AT31=0),"",ROUNDDOWN(AT31/AS31,4))</f>
        <v>0.40910000000000002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447</v>
      </c>
      <c r="G32" s="68"/>
      <c r="H32" s="69"/>
      <c r="I32" s="67">
        <v>419</v>
      </c>
      <c r="J32" s="68"/>
      <c r="K32" s="69"/>
      <c r="L32" s="68">
        <v>459</v>
      </c>
      <c r="M32" s="68"/>
      <c r="N32" s="69"/>
      <c r="O32" s="67">
        <f t="shared" si="0"/>
        <v>878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17" t="s">
        <v>12</v>
      </c>
      <c r="E34" s="60">
        <f>AM31-24844</f>
        <v>-21</v>
      </c>
      <c r="F34" s="60"/>
      <c r="G34" s="1" t="s">
        <v>0</v>
      </c>
      <c r="L34" s="1" t="s">
        <v>11</v>
      </c>
      <c r="O34" s="61">
        <f>AM31-25287</f>
        <v>-464</v>
      </c>
      <c r="P34" s="61"/>
      <c r="Q34" s="61"/>
      <c r="R34" s="61"/>
      <c r="S34" s="1" t="s">
        <v>0</v>
      </c>
      <c r="AG34" s="17" t="s">
        <v>13</v>
      </c>
      <c r="AH34" s="62">
        <f>AT31</f>
        <v>10156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17" t="s">
        <v>12</v>
      </c>
      <c r="E36" s="61">
        <f>AA31-12300</f>
        <v>-5</v>
      </c>
      <c r="F36" s="61"/>
      <c r="G36" s="1" t="s">
        <v>10</v>
      </c>
      <c r="L36" s="1" t="s">
        <v>11</v>
      </c>
      <c r="O36" s="61">
        <f>AA31-12324</f>
        <v>-29</v>
      </c>
      <c r="P36" s="61"/>
      <c r="Q36" s="61"/>
      <c r="R36" s="61"/>
      <c r="S36" s="1" t="s">
        <v>10</v>
      </c>
      <c r="Y36" s="1" t="s">
        <v>9</v>
      </c>
      <c r="AG36" s="17" t="s">
        <v>8</v>
      </c>
      <c r="AH36" s="62">
        <f>AT29</f>
        <v>4334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17"/>
    </row>
    <row r="38" spans="3:39" ht="18.75" customHeight="1" x14ac:dyDescent="0.4">
      <c r="C38" s="18" t="s">
        <v>7</v>
      </c>
      <c r="AG38" s="17" t="s">
        <v>6</v>
      </c>
      <c r="AH38" s="62">
        <f>AT30</f>
        <v>5822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17"/>
    </row>
    <row r="40" spans="3:39" ht="18.75" customHeight="1" x14ac:dyDescent="0.4">
      <c r="C40" s="4" t="s">
        <v>5</v>
      </c>
      <c r="AG40" s="17" t="s">
        <v>4</v>
      </c>
      <c r="AH40" s="63">
        <f>IF(OR(AH34=0,AM31=0),"",ROUNDDOWN(AH34/AM31*100,2))</f>
        <v>40.909999999999997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F42" s="58">
        <v>14</v>
      </c>
      <c r="G42" s="58"/>
      <c r="H42" s="58"/>
      <c r="I42" s="1" t="s">
        <v>0</v>
      </c>
      <c r="L42" s="1" t="s">
        <v>1</v>
      </c>
      <c r="S42" s="58">
        <v>24</v>
      </c>
      <c r="T42" s="58"/>
      <c r="U42" s="58"/>
      <c r="V42" s="1" t="s">
        <v>0</v>
      </c>
    </row>
  </sheetData>
  <mergeCells count="286">
    <mergeCell ref="F42:H42"/>
    <mergeCell ref="S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2" zoomScaleNormal="100" zoomScaleSheetLayoutView="100" workbookViewId="0">
      <selection activeCell="AS42" sqref="AS42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4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21"/>
      <c r="H3" s="21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24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24"/>
      <c r="H4" s="11"/>
      <c r="I4" s="62" t="s">
        <v>10</v>
      </c>
      <c r="J4" s="62"/>
      <c r="K4" s="62"/>
      <c r="L4" s="62">
        <v>11204</v>
      </c>
      <c r="M4" s="62"/>
      <c r="N4" s="62"/>
      <c r="O4" s="22"/>
      <c r="P4" s="22"/>
      <c r="Q4" s="86" t="s">
        <v>71</v>
      </c>
      <c r="R4" s="86"/>
      <c r="S4" s="86"/>
      <c r="T4" s="93">
        <v>118.23</v>
      </c>
      <c r="U4" s="93"/>
      <c r="V4" s="93"/>
      <c r="W4" s="93"/>
      <c r="X4" s="22" t="s">
        <v>70</v>
      </c>
      <c r="Y4" s="22"/>
      <c r="Z4" s="22"/>
      <c r="AF4" s="6"/>
      <c r="AH4" s="24"/>
      <c r="AK4" s="21"/>
      <c r="AL4" s="24"/>
      <c r="AM4" s="22"/>
      <c r="AP4" s="21"/>
    </row>
    <row r="5" spans="2:44" ht="18.75" customHeight="1" x14ac:dyDescent="0.4">
      <c r="Z5" s="24"/>
      <c r="AA5" s="24"/>
      <c r="AB5" s="24"/>
      <c r="AC5" s="24"/>
      <c r="AD5" s="77">
        <v>44043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1775</v>
      </c>
      <c r="G8" s="80"/>
      <c r="H8" s="81"/>
      <c r="I8" s="79">
        <v>1805</v>
      </c>
      <c r="J8" s="80"/>
      <c r="K8" s="81"/>
      <c r="L8" s="80">
        <v>1964</v>
      </c>
      <c r="M8" s="80"/>
      <c r="N8" s="81"/>
      <c r="O8" s="79">
        <f t="shared" ref="O8:O32" si="0">I8+L8</f>
        <v>3769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474</v>
      </c>
      <c r="AB8" s="80"/>
      <c r="AC8" s="80"/>
      <c r="AD8" s="81"/>
      <c r="AE8" s="79">
        <v>504</v>
      </c>
      <c r="AF8" s="80"/>
      <c r="AG8" s="80"/>
      <c r="AH8" s="81"/>
      <c r="AI8" s="79">
        <v>543</v>
      </c>
      <c r="AJ8" s="80"/>
      <c r="AK8" s="80"/>
      <c r="AL8" s="81"/>
      <c r="AM8" s="85">
        <f t="shared" ref="AM8:AM31" si="1">AE8+AI8</f>
        <v>1047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90</v>
      </c>
      <c r="G9" s="75"/>
      <c r="H9" s="76"/>
      <c r="I9" s="74">
        <v>87</v>
      </c>
      <c r="J9" s="75"/>
      <c r="K9" s="76"/>
      <c r="L9" s="75">
        <v>68</v>
      </c>
      <c r="M9" s="75"/>
      <c r="N9" s="76"/>
      <c r="O9" s="74">
        <f t="shared" si="0"/>
        <v>155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58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217</v>
      </c>
      <c r="G10" s="75"/>
      <c r="H10" s="76"/>
      <c r="I10" s="74">
        <v>185</v>
      </c>
      <c r="J10" s="75"/>
      <c r="K10" s="76"/>
      <c r="L10" s="75">
        <v>209</v>
      </c>
      <c r="M10" s="75"/>
      <c r="N10" s="76"/>
      <c r="O10" s="74">
        <f t="shared" si="0"/>
        <v>394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277</v>
      </c>
      <c r="AB10" s="75"/>
      <c r="AC10" s="75"/>
      <c r="AD10" s="76"/>
      <c r="AE10" s="74">
        <v>259</v>
      </c>
      <c r="AF10" s="75"/>
      <c r="AG10" s="75"/>
      <c r="AH10" s="76"/>
      <c r="AI10" s="74">
        <v>300</v>
      </c>
      <c r="AJ10" s="75"/>
      <c r="AK10" s="75"/>
      <c r="AL10" s="76"/>
      <c r="AM10" s="70">
        <f t="shared" si="1"/>
        <v>559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117</v>
      </c>
      <c r="G11" s="75"/>
      <c r="H11" s="76"/>
      <c r="I11" s="74">
        <v>104</v>
      </c>
      <c r="J11" s="75"/>
      <c r="K11" s="76"/>
      <c r="L11" s="75">
        <v>121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430</v>
      </c>
      <c r="AB11" s="75"/>
      <c r="AC11" s="75"/>
      <c r="AD11" s="76"/>
      <c r="AE11" s="74">
        <v>468</v>
      </c>
      <c r="AF11" s="75"/>
      <c r="AG11" s="75"/>
      <c r="AH11" s="76"/>
      <c r="AI11" s="74">
        <v>505</v>
      </c>
      <c r="AJ11" s="75"/>
      <c r="AK11" s="75"/>
      <c r="AL11" s="76"/>
      <c r="AM11" s="70">
        <f t="shared" si="1"/>
        <v>973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152</v>
      </c>
      <c r="G12" s="75"/>
      <c r="H12" s="76"/>
      <c r="I12" s="74">
        <v>156</v>
      </c>
      <c r="J12" s="75"/>
      <c r="K12" s="76"/>
      <c r="L12" s="75">
        <v>160</v>
      </c>
      <c r="M12" s="75"/>
      <c r="N12" s="76"/>
      <c r="O12" s="74">
        <f t="shared" si="0"/>
        <v>316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172</v>
      </c>
      <c r="AB12" s="75"/>
      <c r="AC12" s="75"/>
      <c r="AD12" s="76"/>
      <c r="AE12" s="74">
        <v>162</v>
      </c>
      <c r="AF12" s="75"/>
      <c r="AG12" s="75"/>
      <c r="AH12" s="76"/>
      <c r="AI12" s="74">
        <v>184</v>
      </c>
      <c r="AJ12" s="75"/>
      <c r="AK12" s="75"/>
      <c r="AL12" s="76"/>
      <c r="AM12" s="70">
        <f t="shared" si="1"/>
        <v>346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103</v>
      </c>
      <c r="G13" s="75"/>
      <c r="H13" s="76"/>
      <c r="I13" s="74">
        <v>92</v>
      </c>
      <c r="J13" s="75"/>
      <c r="K13" s="76"/>
      <c r="L13" s="75">
        <v>94</v>
      </c>
      <c r="M13" s="75"/>
      <c r="N13" s="76"/>
      <c r="O13" s="74">
        <f t="shared" si="0"/>
        <v>186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131</v>
      </c>
      <c r="AB13" s="75"/>
      <c r="AC13" s="75"/>
      <c r="AD13" s="76"/>
      <c r="AE13" s="74">
        <v>128</v>
      </c>
      <c r="AF13" s="75"/>
      <c r="AG13" s="75"/>
      <c r="AH13" s="76"/>
      <c r="AI13" s="74">
        <v>131</v>
      </c>
      <c r="AJ13" s="75"/>
      <c r="AK13" s="75"/>
      <c r="AL13" s="76"/>
      <c r="AM13" s="70">
        <f t="shared" si="1"/>
        <v>259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6</v>
      </c>
      <c r="G14" s="75"/>
      <c r="H14" s="76"/>
      <c r="I14" s="74">
        <v>7</v>
      </c>
      <c r="J14" s="75"/>
      <c r="K14" s="76"/>
      <c r="L14" s="75">
        <v>3</v>
      </c>
      <c r="M14" s="75"/>
      <c r="N14" s="76"/>
      <c r="O14" s="74">
        <f t="shared" si="0"/>
        <v>10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1358</v>
      </c>
      <c r="AB14" s="75"/>
      <c r="AC14" s="75"/>
      <c r="AD14" s="76"/>
      <c r="AE14" s="74">
        <v>1278</v>
      </c>
      <c r="AF14" s="75"/>
      <c r="AG14" s="75"/>
      <c r="AH14" s="76"/>
      <c r="AI14" s="74">
        <v>1441</v>
      </c>
      <c r="AJ14" s="75"/>
      <c r="AK14" s="75"/>
      <c r="AL14" s="76"/>
      <c r="AM14" s="70">
        <f t="shared" si="1"/>
        <v>2719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246</v>
      </c>
      <c r="G15" s="75"/>
      <c r="H15" s="76"/>
      <c r="I15" s="74">
        <v>249</v>
      </c>
      <c r="J15" s="75"/>
      <c r="K15" s="76"/>
      <c r="L15" s="75">
        <v>282</v>
      </c>
      <c r="M15" s="75"/>
      <c r="N15" s="76"/>
      <c r="O15" s="74">
        <f t="shared" si="0"/>
        <v>531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7</v>
      </c>
      <c r="AF15" s="75"/>
      <c r="AG15" s="75"/>
      <c r="AH15" s="76"/>
      <c r="AI15" s="74">
        <v>6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239</v>
      </c>
      <c r="G16" s="75"/>
      <c r="H16" s="76"/>
      <c r="I16" s="74">
        <v>215</v>
      </c>
      <c r="J16" s="75"/>
      <c r="K16" s="76"/>
      <c r="L16" s="75">
        <v>251</v>
      </c>
      <c r="M16" s="75"/>
      <c r="N16" s="76"/>
      <c r="O16" s="74">
        <f t="shared" si="0"/>
        <v>466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42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93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120</v>
      </c>
      <c r="G17" s="75"/>
      <c r="H17" s="76"/>
      <c r="I17" s="74">
        <v>156</v>
      </c>
      <c r="J17" s="75"/>
      <c r="K17" s="76"/>
      <c r="L17" s="75">
        <v>181</v>
      </c>
      <c r="M17" s="75"/>
      <c r="N17" s="76"/>
      <c r="O17" s="74">
        <f t="shared" si="0"/>
        <v>337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245</v>
      </c>
      <c r="AB17" s="75"/>
      <c r="AC17" s="75"/>
      <c r="AD17" s="76"/>
      <c r="AE17" s="74">
        <v>225</v>
      </c>
      <c r="AF17" s="75"/>
      <c r="AG17" s="75"/>
      <c r="AH17" s="76"/>
      <c r="AI17" s="74">
        <v>254</v>
      </c>
      <c r="AJ17" s="75"/>
      <c r="AK17" s="75"/>
      <c r="AL17" s="76"/>
      <c r="AM17" s="70">
        <f t="shared" si="1"/>
        <v>479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157</v>
      </c>
      <c r="J18" s="75"/>
      <c r="K18" s="76"/>
      <c r="L18" s="75">
        <v>183</v>
      </c>
      <c r="M18" s="75"/>
      <c r="N18" s="76"/>
      <c r="O18" s="74">
        <f t="shared" si="0"/>
        <v>340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240</v>
      </c>
      <c r="AB18" s="75"/>
      <c r="AC18" s="75"/>
      <c r="AD18" s="76"/>
      <c r="AE18" s="74">
        <v>200</v>
      </c>
      <c r="AF18" s="75"/>
      <c r="AG18" s="75"/>
      <c r="AH18" s="76"/>
      <c r="AI18" s="74">
        <v>211</v>
      </c>
      <c r="AJ18" s="75"/>
      <c r="AK18" s="75"/>
      <c r="AL18" s="76"/>
      <c r="AM18" s="70">
        <f t="shared" si="1"/>
        <v>411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5">
        <v>155</v>
      </c>
      <c r="M19" s="75"/>
      <c r="N19" s="76"/>
      <c r="O19" s="74">
        <f t="shared" si="0"/>
        <v>294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72</v>
      </c>
      <c r="AB19" s="75"/>
      <c r="AC19" s="75"/>
      <c r="AD19" s="76"/>
      <c r="AE19" s="74">
        <v>50</v>
      </c>
      <c r="AF19" s="75"/>
      <c r="AG19" s="75"/>
      <c r="AH19" s="76"/>
      <c r="AI19" s="74">
        <v>63</v>
      </c>
      <c r="AJ19" s="75"/>
      <c r="AK19" s="75"/>
      <c r="AL19" s="76"/>
      <c r="AM19" s="70">
        <f t="shared" si="1"/>
        <v>113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78</v>
      </c>
      <c r="G20" s="75"/>
      <c r="H20" s="76"/>
      <c r="I20" s="74">
        <v>69</v>
      </c>
      <c r="J20" s="75"/>
      <c r="K20" s="76"/>
      <c r="L20" s="75">
        <v>61</v>
      </c>
      <c r="M20" s="75"/>
      <c r="N20" s="76"/>
      <c r="O20" s="74">
        <f t="shared" si="0"/>
        <v>130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99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228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80</v>
      </c>
      <c r="G21" s="75"/>
      <c r="H21" s="76"/>
      <c r="I21" s="74">
        <v>49</v>
      </c>
      <c r="J21" s="75"/>
      <c r="K21" s="76"/>
      <c r="L21" s="75">
        <v>72</v>
      </c>
      <c r="M21" s="75"/>
      <c r="N21" s="76"/>
      <c r="O21" s="74">
        <f t="shared" si="0"/>
        <v>121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101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221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5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250</v>
      </c>
      <c r="AB22" s="75"/>
      <c r="AC22" s="75"/>
      <c r="AD22" s="76"/>
      <c r="AE22" s="74">
        <v>253</v>
      </c>
      <c r="AF22" s="75"/>
      <c r="AG22" s="75"/>
      <c r="AH22" s="76"/>
      <c r="AI22" s="74">
        <v>293</v>
      </c>
      <c r="AJ22" s="75"/>
      <c r="AK22" s="75"/>
      <c r="AL22" s="76"/>
      <c r="AM22" s="70">
        <f t="shared" si="1"/>
        <v>546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5">
        <v>184</v>
      </c>
      <c r="M23" s="75"/>
      <c r="N23" s="76"/>
      <c r="O23" s="74">
        <f t="shared" si="0"/>
        <v>347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19</v>
      </c>
      <c r="AB23" s="75"/>
      <c r="AC23" s="75"/>
      <c r="AD23" s="76"/>
      <c r="AE23" s="74">
        <v>13</v>
      </c>
      <c r="AF23" s="75"/>
      <c r="AG23" s="75"/>
      <c r="AH23" s="76"/>
      <c r="AI23" s="74">
        <v>19</v>
      </c>
      <c r="AJ23" s="75"/>
      <c r="AK23" s="75"/>
      <c r="AL23" s="76"/>
      <c r="AM23" s="70">
        <f t="shared" si="1"/>
        <v>32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225</v>
      </c>
      <c r="G24" s="75"/>
      <c r="H24" s="76"/>
      <c r="I24" s="74">
        <v>234</v>
      </c>
      <c r="J24" s="75"/>
      <c r="K24" s="76"/>
      <c r="L24" s="75">
        <v>236</v>
      </c>
      <c r="M24" s="75"/>
      <c r="N24" s="76"/>
      <c r="O24" s="74">
        <f t="shared" si="0"/>
        <v>470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143</v>
      </c>
      <c r="AB24" s="75"/>
      <c r="AC24" s="75"/>
      <c r="AD24" s="76"/>
      <c r="AE24" s="74">
        <v>125</v>
      </c>
      <c r="AF24" s="75"/>
      <c r="AG24" s="75"/>
      <c r="AH24" s="76"/>
      <c r="AI24" s="74">
        <v>133</v>
      </c>
      <c r="AJ24" s="75"/>
      <c r="AK24" s="75"/>
      <c r="AL24" s="76"/>
      <c r="AM24" s="70">
        <f t="shared" si="1"/>
        <v>258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181</v>
      </c>
      <c r="G25" s="75"/>
      <c r="H25" s="76"/>
      <c r="I25" s="74">
        <v>162</v>
      </c>
      <c r="J25" s="75"/>
      <c r="K25" s="76"/>
      <c r="L25" s="75">
        <v>180</v>
      </c>
      <c r="M25" s="75"/>
      <c r="N25" s="76"/>
      <c r="O25" s="74">
        <f t="shared" si="0"/>
        <v>342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240</v>
      </c>
      <c r="AB25" s="75"/>
      <c r="AC25" s="75"/>
      <c r="AD25" s="76"/>
      <c r="AE25" s="74">
        <v>191</v>
      </c>
      <c r="AF25" s="75"/>
      <c r="AG25" s="75"/>
      <c r="AH25" s="76"/>
      <c r="AI25" s="74">
        <v>196</v>
      </c>
      <c r="AJ25" s="75"/>
      <c r="AK25" s="75"/>
      <c r="AL25" s="76"/>
      <c r="AM25" s="70">
        <f t="shared" si="1"/>
        <v>387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174</v>
      </c>
      <c r="G26" s="75"/>
      <c r="H26" s="76"/>
      <c r="I26" s="74">
        <v>162</v>
      </c>
      <c r="J26" s="75"/>
      <c r="K26" s="76"/>
      <c r="L26" s="75">
        <v>186</v>
      </c>
      <c r="M26" s="75"/>
      <c r="N26" s="76"/>
      <c r="O26" s="74">
        <f t="shared" si="0"/>
        <v>348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153</v>
      </c>
      <c r="AB26" s="75"/>
      <c r="AC26" s="75"/>
      <c r="AD26" s="76"/>
      <c r="AE26" s="74">
        <v>131</v>
      </c>
      <c r="AF26" s="75"/>
      <c r="AG26" s="75"/>
      <c r="AH26" s="76"/>
      <c r="AI26" s="74">
        <v>150</v>
      </c>
      <c r="AJ26" s="75"/>
      <c r="AK26" s="75"/>
      <c r="AL26" s="76"/>
      <c r="AM26" s="70">
        <f t="shared" si="1"/>
        <v>281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147</v>
      </c>
      <c r="G27" s="75"/>
      <c r="H27" s="76"/>
      <c r="I27" s="74">
        <v>129</v>
      </c>
      <c r="J27" s="75"/>
      <c r="K27" s="76"/>
      <c r="L27" s="75">
        <v>150</v>
      </c>
      <c r="M27" s="75"/>
      <c r="N27" s="76"/>
      <c r="O27" s="74">
        <f t="shared" si="0"/>
        <v>279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189</v>
      </c>
      <c r="AB27" s="75"/>
      <c r="AC27" s="75"/>
      <c r="AD27" s="76"/>
      <c r="AE27" s="74">
        <v>165</v>
      </c>
      <c r="AF27" s="75"/>
      <c r="AG27" s="75"/>
      <c r="AH27" s="76"/>
      <c r="AI27" s="74">
        <v>123</v>
      </c>
      <c r="AJ27" s="75"/>
      <c r="AK27" s="75"/>
      <c r="AL27" s="76"/>
      <c r="AM27" s="70">
        <f t="shared" si="1"/>
        <v>288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5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210</v>
      </c>
      <c r="AB28" s="75"/>
      <c r="AC28" s="75"/>
      <c r="AD28" s="76"/>
      <c r="AE28" s="74">
        <v>180</v>
      </c>
      <c r="AF28" s="75"/>
      <c r="AG28" s="75"/>
      <c r="AH28" s="76"/>
      <c r="AI28" s="74">
        <v>210</v>
      </c>
      <c r="AJ28" s="75"/>
      <c r="AK28" s="75"/>
      <c r="AL28" s="76"/>
      <c r="AM28" s="70">
        <f t="shared" si="1"/>
        <v>390</v>
      </c>
      <c r="AN28" s="70"/>
      <c r="AO28" s="70"/>
      <c r="AP28" s="70"/>
      <c r="AR28" s="23"/>
      <c r="AS28" s="23" t="s">
        <v>23</v>
      </c>
      <c r="AT28" s="23" t="s">
        <v>22</v>
      </c>
      <c r="AU28" s="23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69</v>
      </c>
      <c r="J29" s="75"/>
      <c r="K29" s="76"/>
      <c r="L29" s="75">
        <v>87</v>
      </c>
      <c r="M29" s="75"/>
      <c r="N29" s="76"/>
      <c r="O29" s="74">
        <f t="shared" si="0"/>
        <v>156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222</v>
      </c>
      <c r="AB29" s="75"/>
      <c r="AC29" s="75"/>
      <c r="AD29" s="76"/>
      <c r="AE29" s="74">
        <v>229</v>
      </c>
      <c r="AF29" s="75"/>
      <c r="AG29" s="75"/>
      <c r="AH29" s="76"/>
      <c r="AI29" s="74">
        <v>162</v>
      </c>
      <c r="AJ29" s="75"/>
      <c r="AK29" s="75"/>
      <c r="AL29" s="76"/>
      <c r="AM29" s="70">
        <f t="shared" si="1"/>
        <v>391</v>
      </c>
      <c r="AN29" s="70"/>
      <c r="AO29" s="70"/>
      <c r="AP29" s="70"/>
      <c r="AR29" s="23" t="s">
        <v>8</v>
      </c>
      <c r="AS29" s="9">
        <f>AE31</f>
        <v>11855</v>
      </c>
      <c r="AT29" s="9">
        <v>4327</v>
      </c>
      <c r="AU29" s="8">
        <f>IF(OR(AS29=0,AT29=0),"",ROUNDDOWN(AT29/AS29,4))</f>
        <v>0.3649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1480</v>
      </c>
      <c r="G30" s="75"/>
      <c r="H30" s="76"/>
      <c r="I30" s="74">
        <v>1502</v>
      </c>
      <c r="J30" s="75"/>
      <c r="K30" s="76"/>
      <c r="L30" s="75">
        <v>1639</v>
      </c>
      <c r="M30" s="75"/>
      <c r="N30" s="76"/>
      <c r="O30" s="74">
        <f t="shared" si="0"/>
        <v>3141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41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23" t="s">
        <v>6</v>
      </c>
      <c r="AS30" s="9">
        <f>AI31</f>
        <v>12934</v>
      </c>
      <c r="AT30" s="9">
        <v>5824</v>
      </c>
      <c r="AU30" s="8">
        <f>IF(OR(AS30=0,AT30=0),"",ROUNDDOWN(AT30/AS30,4))</f>
        <v>0.45019999999999999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536</v>
      </c>
      <c r="G31" s="75"/>
      <c r="H31" s="76"/>
      <c r="I31" s="74">
        <v>560</v>
      </c>
      <c r="J31" s="75"/>
      <c r="K31" s="76"/>
      <c r="L31" s="75">
        <v>586</v>
      </c>
      <c r="M31" s="75"/>
      <c r="N31" s="76"/>
      <c r="O31" s="74">
        <f t="shared" si="0"/>
        <v>1146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12281</v>
      </c>
      <c r="AB31" s="75"/>
      <c r="AC31" s="75"/>
      <c r="AD31" s="76"/>
      <c r="AE31" s="74">
        <f>SUM(I8:K32,AE8:AH30)</f>
        <v>11855</v>
      </c>
      <c r="AF31" s="75"/>
      <c r="AG31" s="75"/>
      <c r="AH31" s="76"/>
      <c r="AI31" s="74">
        <f>SUM(L8:N32,AI8:AL30)</f>
        <v>12934</v>
      </c>
      <c r="AJ31" s="75"/>
      <c r="AK31" s="75"/>
      <c r="AL31" s="76"/>
      <c r="AM31" s="70">
        <f t="shared" si="1"/>
        <v>24789</v>
      </c>
      <c r="AN31" s="70"/>
      <c r="AO31" s="70"/>
      <c r="AP31" s="70"/>
      <c r="AR31" s="23" t="s">
        <v>15</v>
      </c>
      <c r="AS31" s="9">
        <f>AM31</f>
        <v>24789</v>
      </c>
      <c r="AT31" s="9">
        <f>AT29+AT30</f>
        <v>10151</v>
      </c>
      <c r="AU31" s="8">
        <f>IF(OR(AS31=0,AT31=0),"",ROUNDDOWN(AT31/AS31,4))</f>
        <v>0.40939999999999999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445</v>
      </c>
      <c r="G32" s="68"/>
      <c r="H32" s="69"/>
      <c r="I32" s="67">
        <v>417</v>
      </c>
      <c r="J32" s="68"/>
      <c r="K32" s="69"/>
      <c r="L32" s="68">
        <v>457</v>
      </c>
      <c r="M32" s="68"/>
      <c r="N32" s="69"/>
      <c r="O32" s="67">
        <f t="shared" si="0"/>
        <v>874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21" t="s">
        <v>12</v>
      </c>
      <c r="E34" s="60">
        <f>AM31-24823</f>
        <v>-34</v>
      </c>
      <c r="F34" s="60"/>
      <c r="G34" s="1" t="s">
        <v>0</v>
      </c>
      <c r="L34" s="1" t="s">
        <v>11</v>
      </c>
      <c r="O34" s="61">
        <f>AM31-25260</f>
        <v>-471</v>
      </c>
      <c r="P34" s="61"/>
      <c r="Q34" s="61"/>
      <c r="R34" s="61"/>
      <c r="S34" s="1" t="s">
        <v>0</v>
      </c>
      <c r="AG34" s="21" t="s">
        <v>13</v>
      </c>
      <c r="AH34" s="62">
        <f>AT31</f>
        <v>10151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21" t="s">
        <v>12</v>
      </c>
      <c r="E36" s="61">
        <f>AA31-12295</f>
        <v>-14</v>
      </c>
      <c r="F36" s="61"/>
      <c r="G36" s="1" t="s">
        <v>10</v>
      </c>
      <c r="L36" s="1" t="s">
        <v>11</v>
      </c>
      <c r="O36" s="61">
        <f>AA31-12324</f>
        <v>-43</v>
      </c>
      <c r="P36" s="61"/>
      <c r="Q36" s="61"/>
      <c r="R36" s="61"/>
      <c r="S36" s="1" t="s">
        <v>10</v>
      </c>
      <c r="Y36" s="1" t="s">
        <v>9</v>
      </c>
      <c r="AG36" s="21" t="s">
        <v>8</v>
      </c>
      <c r="AH36" s="62">
        <v>4327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21"/>
    </row>
    <row r="38" spans="3:39" ht="18.75" customHeight="1" x14ac:dyDescent="0.4">
      <c r="C38" s="22" t="s">
        <v>7</v>
      </c>
      <c r="AG38" s="21" t="s">
        <v>6</v>
      </c>
      <c r="AH38" s="62">
        <v>5824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21"/>
    </row>
    <row r="40" spans="3:39" ht="18.75" customHeight="1" x14ac:dyDescent="0.4">
      <c r="C40" s="4" t="s">
        <v>5</v>
      </c>
      <c r="AG40" s="21" t="s">
        <v>4</v>
      </c>
      <c r="AH40" s="63">
        <f>IF(OR(AH34=0,AM31=0),"",ROUNDDOWN(AH34/AM31*100,2))</f>
        <v>40.94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F42" s="58">
        <v>9</v>
      </c>
      <c r="G42" s="58"/>
      <c r="H42" s="58"/>
      <c r="I42" s="1" t="s">
        <v>0</v>
      </c>
      <c r="L42" s="1" t="s">
        <v>1</v>
      </c>
      <c r="S42" s="58">
        <v>24</v>
      </c>
      <c r="T42" s="58"/>
      <c r="U42" s="58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F42:H42"/>
    <mergeCell ref="S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C1" zoomScaleNormal="100" zoomScaleSheetLayoutView="80" workbookViewId="0">
      <selection activeCell="AS11" sqref="AS11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8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25"/>
      <c r="H3" s="25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28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28"/>
      <c r="H4" s="11"/>
      <c r="I4" s="62" t="s">
        <v>10</v>
      </c>
      <c r="J4" s="62"/>
      <c r="K4" s="62"/>
      <c r="L4" s="62">
        <v>11204</v>
      </c>
      <c r="M4" s="62"/>
      <c r="N4" s="62"/>
      <c r="O4" s="26"/>
      <c r="P4" s="26"/>
      <c r="Q4" s="86" t="s">
        <v>71</v>
      </c>
      <c r="R4" s="86"/>
      <c r="S4" s="86"/>
      <c r="T4" s="93">
        <v>118.23</v>
      </c>
      <c r="U4" s="93"/>
      <c r="V4" s="93"/>
      <c r="W4" s="93"/>
      <c r="X4" s="26" t="s">
        <v>70</v>
      </c>
      <c r="Y4" s="26"/>
      <c r="Z4" s="26"/>
      <c r="AF4" s="6"/>
      <c r="AH4" s="28"/>
      <c r="AK4" s="25"/>
      <c r="AL4" s="28"/>
      <c r="AM4" s="26"/>
      <c r="AP4" s="25"/>
    </row>
    <row r="5" spans="2:44" ht="18.75" customHeight="1" x14ac:dyDescent="0.4">
      <c r="Z5" s="28"/>
      <c r="AA5" s="28"/>
      <c r="AB5" s="28"/>
      <c r="AC5" s="28"/>
      <c r="AD5" s="77">
        <v>44074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1774</v>
      </c>
      <c r="G8" s="80"/>
      <c r="H8" s="81"/>
      <c r="I8" s="79">
        <v>1801</v>
      </c>
      <c r="J8" s="80"/>
      <c r="K8" s="81"/>
      <c r="L8" s="80">
        <v>1957</v>
      </c>
      <c r="M8" s="80"/>
      <c r="N8" s="81"/>
      <c r="O8" s="79">
        <f t="shared" ref="O8:O32" si="0">I8+L8</f>
        <v>3758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473</v>
      </c>
      <c r="AB8" s="80"/>
      <c r="AC8" s="80"/>
      <c r="AD8" s="81"/>
      <c r="AE8" s="79">
        <v>503</v>
      </c>
      <c r="AF8" s="80"/>
      <c r="AG8" s="80"/>
      <c r="AH8" s="81"/>
      <c r="AI8" s="79">
        <v>539</v>
      </c>
      <c r="AJ8" s="80"/>
      <c r="AK8" s="80"/>
      <c r="AL8" s="81"/>
      <c r="AM8" s="85">
        <f t="shared" ref="AM8:AM31" si="1">AE8+AI8</f>
        <v>1042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93</v>
      </c>
      <c r="G9" s="75"/>
      <c r="H9" s="76"/>
      <c r="I9" s="74">
        <v>88</v>
      </c>
      <c r="J9" s="75"/>
      <c r="K9" s="76"/>
      <c r="L9" s="75">
        <v>73</v>
      </c>
      <c r="M9" s="75"/>
      <c r="N9" s="76"/>
      <c r="O9" s="74">
        <f t="shared" si="0"/>
        <v>161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58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217</v>
      </c>
      <c r="G10" s="75"/>
      <c r="H10" s="76"/>
      <c r="I10" s="74">
        <v>180</v>
      </c>
      <c r="J10" s="75"/>
      <c r="K10" s="76"/>
      <c r="L10" s="75">
        <v>207</v>
      </c>
      <c r="M10" s="75"/>
      <c r="N10" s="76"/>
      <c r="O10" s="74">
        <f t="shared" si="0"/>
        <v>387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278</v>
      </c>
      <c r="AB10" s="75"/>
      <c r="AC10" s="75"/>
      <c r="AD10" s="76"/>
      <c r="AE10" s="74">
        <v>259</v>
      </c>
      <c r="AF10" s="75"/>
      <c r="AG10" s="75"/>
      <c r="AH10" s="76"/>
      <c r="AI10" s="74">
        <v>300</v>
      </c>
      <c r="AJ10" s="75"/>
      <c r="AK10" s="75"/>
      <c r="AL10" s="76"/>
      <c r="AM10" s="70">
        <f t="shared" si="1"/>
        <v>559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117</v>
      </c>
      <c r="G11" s="75"/>
      <c r="H11" s="76"/>
      <c r="I11" s="74">
        <v>104</v>
      </c>
      <c r="J11" s="75"/>
      <c r="K11" s="76"/>
      <c r="L11" s="75">
        <v>121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427</v>
      </c>
      <c r="AB11" s="75"/>
      <c r="AC11" s="75"/>
      <c r="AD11" s="76"/>
      <c r="AE11" s="74">
        <v>465</v>
      </c>
      <c r="AF11" s="75"/>
      <c r="AG11" s="75"/>
      <c r="AH11" s="76"/>
      <c r="AI11" s="74">
        <v>501</v>
      </c>
      <c r="AJ11" s="75"/>
      <c r="AK11" s="75"/>
      <c r="AL11" s="76"/>
      <c r="AM11" s="70">
        <f t="shared" si="1"/>
        <v>966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151</v>
      </c>
      <c r="G12" s="75"/>
      <c r="H12" s="76"/>
      <c r="I12" s="74">
        <v>152</v>
      </c>
      <c r="J12" s="75"/>
      <c r="K12" s="76"/>
      <c r="L12" s="75">
        <v>161</v>
      </c>
      <c r="M12" s="75"/>
      <c r="N12" s="76"/>
      <c r="O12" s="74">
        <f t="shared" si="0"/>
        <v>313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171</v>
      </c>
      <c r="AB12" s="75"/>
      <c r="AC12" s="75"/>
      <c r="AD12" s="76"/>
      <c r="AE12" s="74">
        <v>161</v>
      </c>
      <c r="AF12" s="75"/>
      <c r="AG12" s="75"/>
      <c r="AH12" s="76"/>
      <c r="AI12" s="74">
        <v>183</v>
      </c>
      <c r="AJ12" s="75"/>
      <c r="AK12" s="75"/>
      <c r="AL12" s="76"/>
      <c r="AM12" s="70">
        <f t="shared" si="1"/>
        <v>344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102</v>
      </c>
      <c r="G13" s="75"/>
      <c r="H13" s="76"/>
      <c r="I13" s="74">
        <v>92</v>
      </c>
      <c r="J13" s="75"/>
      <c r="K13" s="76"/>
      <c r="L13" s="75">
        <v>93</v>
      </c>
      <c r="M13" s="75"/>
      <c r="N13" s="76"/>
      <c r="O13" s="74">
        <f t="shared" si="0"/>
        <v>185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131</v>
      </c>
      <c r="AB13" s="75"/>
      <c r="AC13" s="75"/>
      <c r="AD13" s="76"/>
      <c r="AE13" s="74">
        <v>128</v>
      </c>
      <c r="AF13" s="75"/>
      <c r="AG13" s="75"/>
      <c r="AH13" s="76"/>
      <c r="AI13" s="74">
        <v>131</v>
      </c>
      <c r="AJ13" s="75"/>
      <c r="AK13" s="75"/>
      <c r="AL13" s="76"/>
      <c r="AM13" s="70">
        <f t="shared" si="1"/>
        <v>259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6</v>
      </c>
      <c r="G14" s="75"/>
      <c r="H14" s="76"/>
      <c r="I14" s="74">
        <v>7</v>
      </c>
      <c r="J14" s="75"/>
      <c r="K14" s="76"/>
      <c r="L14" s="75">
        <v>3</v>
      </c>
      <c r="M14" s="75"/>
      <c r="N14" s="76"/>
      <c r="O14" s="74">
        <f t="shared" si="0"/>
        <v>10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1352</v>
      </c>
      <c r="AB14" s="75"/>
      <c r="AC14" s="75"/>
      <c r="AD14" s="76"/>
      <c r="AE14" s="74">
        <v>1273</v>
      </c>
      <c r="AF14" s="75"/>
      <c r="AG14" s="75"/>
      <c r="AH14" s="76"/>
      <c r="AI14" s="74">
        <v>1432</v>
      </c>
      <c r="AJ14" s="75"/>
      <c r="AK14" s="75"/>
      <c r="AL14" s="76"/>
      <c r="AM14" s="70">
        <f t="shared" si="1"/>
        <v>2705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247</v>
      </c>
      <c r="G15" s="75"/>
      <c r="H15" s="76"/>
      <c r="I15" s="74">
        <v>248</v>
      </c>
      <c r="J15" s="75"/>
      <c r="K15" s="76"/>
      <c r="L15" s="75">
        <v>283</v>
      </c>
      <c r="M15" s="75"/>
      <c r="N15" s="76"/>
      <c r="O15" s="74">
        <f t="shared" si="0"/>
        <v>531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7</v>
      </c>
      <c r="AF15" s="75"/>
      <c r="AG15" s="75"/>
      <c r="AH15" s="76"/>
      <c r="AI15" s="74">
        <v>7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241</v>
      </c>
      <c r="G16" s="75"/>
      <c r="H16" s="76"/>
      <c r="I16" s="74">
        <v>217</v>
      </c>
      <c r="J16" s="75"/>
      <c r="K16" s="76"/>
      <c r="L16" s="75">
        <v>256</v>
      </c>
      <c r="M16" s="75"/>
      <c r="N16" s="76"/>
      <c r="O16" s="74">
        <f t="shared" si="0"/>
        <v>473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42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93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120</v>
      </c>
      <c r="G17" s="75"/>
      <c r="H17" s="76"/>
      <c r="I17" s="74">
        <v>156</v>
      </c>
      <c r="J17" s="75"/>
      <c r="K17" s="76"/>
      <c r="L17" s="75">
        <v>178</v>
      </c>
      <c r="M17" s="75"/>
      <c r="N17" s="76"/>
      <c r="O17" s="74">
        <f t="shared" si="0"/>
        <v>334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246</v>
      </c>
      <c r="AB17" s="75"/>
      <c r="AC17" s="75"/>
      <c r="AD17" s="76"/>
      <c r="AE17" s="74">
        <v>226</v>
      </c>
      <c r="AF17" s="75"/>
      <c r="AG17" s="75"/>
      <c r="AH17" s="76"/>
      <c r="AI17" s="74">
        <v>256</v>
      </c>
      <c r="AJ17" s="75"/>
      <c r="AK17" s="75"/>
      <c r="AL17" s="76"/>
      <c r="AM17" s="70">
        <f t="shared" si="1"/>
        <v>482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156</v>
      </c>
      <c r="J18" s="75"/>
      <c r="K18" s="76"/>
      <c r="L18" s="75">
        <v>182</v>
      </c>
      <c r="M18" s="75"/>
      <c r="N18" s="76"/>
      <c r="O18" s="74">
        <f t="shared" si="0"/>
        <v>338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239</v>
      </c>
      <c r="AB18" s="75"/>
      <c r="AC18" s="75"/>
      <c r="AD18" s="76"/>
      <c r="AE18" s="74">
        <v>199</v>
      </c>
      <c r="AF18" s="75"/>
      <c r="AG18" s="75"/>
      <c r="AH18" s="76"/>
      <c r="AI18" s="74">
        <v>209</v>
      </c>
      <c r="AJ18" s="75"/>
      <c r="AK18" s="75"/>
      <c r="AL18" s="76"/>
      <c r="AM18" s="70">
        <f t="shared" si="1"/>
        <v>408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5">
        <v>155</v>
      </c>
      <c r="M19" s="75"/>
      <c r="N19" s="76"/>
      <c r="O19" s="74">
        <f t="shared" si="0"/>
        <v>294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71</v>
      </c>
      <c r="AB19" s="75"/>
      <c r="AC19" s="75"/>
      <c r="AD19" s="76"/>
      <c r="AE19" s="74">
        <v>49</v>
      </c>
      <c r="AF19" s="75"/>
      <c r="AG19" s="75"/>
      <c r="AH19" s="76"/>
      <c r="AI19" s="74">
        <v>62</v>
      </c>
      <c r="AJ19" s="75"/>
      <c r="AK19" s="75"/>
      <c r="AL19" s="76"/>
      <c r="AM19" s="70">
        <f t="shared" si="1"/>
        <v>111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78</v>
      </c>
      <c r="G20" s="75"/>
      <c r="H20" s="76"/>
      <c r="I20" s="74">
        <v>69</v>
      </c>
      <c r="J20" s="75"/>
      <c r="K20" s="76"/>
      <c r="L20" s="75">
        <v>61</v>
      </c>
      <c r="M20" s="75"/>
      <c r="N20" s="76"/>
      <c r="O20" s="74">
        <f t="shared" si="0"/>
        <v>130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99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228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80</v>
      </c>
      <c r="G21" s="75"/>
      <c r="H21" s="76"/>
      <c r="I21" s="74">
        <v>47</v>
      </c>
      <c r="J21" s="75"/>
      <c r="K21" s="76"/>
      <c r="L21" s="75">
        <v>70</v>
      </c>
      <c r="M21" s="75"/>
      <c r="N21" s="76"/>
      <c r="O21" s="74">
        <f t="shared" si="0"/>
        <v>117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100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220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5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249</v>
      </c>
      <c r="AB22" s="75"/>
      <c r="AC22" s="75"/>
      <c r="AD22" s="76"/>
      <c r="AE22" s="74">
        <v>252</v>
      </c>
      <c r="AF22" s="75"/>
      <c r="AG22" s="75"/>
      <c r="AH22" s="76"/>
      <c r="AI22" s="74">
        <v>293</v>
      </c>
      <c r="AJ22" s="75"/>
      <c r="AK22" s="75"/>
      <c r="AL22" s="76"/>
      <c r="AM22" s="70">
        <f t="shared" si="1"/>
        <v>545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5">
        <v>184</v>
      </c>
      <c r="M23" s="75"/>
      <c r="N23" s="76"/>
      <c r="O23" s="74">
        <f t="shared" si="0"/>
        <v>347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19</v>
      </c>
      <c r="AB23" s="75"/>
      <c r="AC23" s="75"/>
      <c r="AD23" s="76"/>
      <c r="AE23" s="74">
        <v>14</v>
      </c>
      <c r="AF23" s="75"/>
      <c r="AG23" s="75"/>
      <c r="AH23" s="76"/>
      <c r="AI23" s="74">
        <v>19</v>
      </c>
      <c r="AJ23" s="75"/>
      <c r="AK23" s="75"/>
      <c r="AL23" s="76"/>
      <c r="AM23" s="70">
        <f t="shared" si="1"/>
        <v>33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225</v>
      </c>
      <c r="G24" s="75"/>
      <c r="H24" s="76"/>
      <c r="I24" s="74">
        <v>233</v>
      </c>
      <c r="J24" s="75"/>
      <c r="K24" s="76"/>
      <c r="L24" s="75">
        <v>237</v>
      </c>
      <c r="M24" s="75"/>
      <c r="N24" s="76"/>
      <c r="O24" s="74">
        <f t="shared" si="0"/>
        <v>470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142</v>
      </c>
      <c r="AB24" s="75"/>
      <c r="AC24" s="75"/>
      <c r="AD24" s="76"/>
      <c r="AE24" s="74">
        <v>125</v>
      </c>
      <c r="AF24" s="75"/>
      <c r="AG24" s="75"/>
      <c r="AH24" s="76"/>
      <c r="AI24" s="74">
        <v>133</v>
      </c>
      <c r="AJ24" s="75"/>
      <c r="AK24" s="75"/>
      <c r="AL24" s="76"/>
      <c r="AM24" s="70">
        <f t="shared" si="1"/>
        <v>258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161</v>
      </c>
      <c r="J25" s="75"/>
      <c r="K25" s="76"/>
      <c r="L25" s="75">
        <v>180</v>
      </c>
      <c r="M25" s="75"/>
      <c r="N25" s="76"/>
      <c r="O25" s="74">
        <f t="shared" si="0"/>
        <v>341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238</v>
      </c>
      <c r="AB25" s="75"/>
      <c r="AC25" s="75"/>
      <c r="AD25" s="76"/>
      <c r="AE25" s="74">
        <v>190</v>
      </c>
      <c r="AF25" s="75"/>
      <c r="AG25" s="75"/>
      <c r="AH25" s="76"/>
      <c r="AI25" s="74">
        <v>195</v>
      </c>
      <c r="AJ25" s="75"/>
      <c r="AK25" s="75"/>
      <c r="AL25" s="76"/>
      <c r="AM25" s="70">
        <f t="shared" si="1"/>
        <v>385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174</v>
      </c>
      <c r="G26" s="75"/>
      <c r="H26" s="76"/>
      <c r="I26" s="74">
        <v>164</v>
      </c>
      <c r="J26" s="75"/>
      <c r="K26" s="76"/>
      <c r="L26" s="75">
        <v>186</v>
      </c>
      <c r="M26" s="75"/>
      <c r="N26" s="76"/>
      <c r="O26" s="74">
        <f t="shared" si="0"/>
        <v>350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154</v>
      </c>
      <c r="AB26" s="75"/>
      <c r="AC26" s="75"/>
      <c r="AD26" s="76"/>
      <c r="AE26" s="74">
        <v>132</v>
      </c>
      <c r="AF26" s="75"/>
      <c r="AG26" s="75"/>
      <c r="AH26" s="76"/>
      <c r="AI26" s="74">
        <v>150</v>
      </c>
      <c r="AJ26" s="75"/>
      <c r="AK26" s="75"/>
      <c r="AL26" s="76"/>
      <c r="AM26" s="70">
        <f t="shared" si="1"/>
        <v>282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148</v>
      </c>
      <c r="G27" s="75"/>
      <c r="H27" s="76"/>
      <c r="I27" s="74">
        <v>130</v>
      </c>
      <c r="J27" s="75"/>
      <c r="K27" s="76"/>
      <c r="L27" s="75">
        <v>152</v>
      </c>
      <c r="M27" s="75"/>
      <c r="N27" s="76"/>
      <c r="O27" s="74">
        <f t="shared" si="0"/>
        <v>282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186</v>
      </c>
      <c r="AB27" s="75"/>
      <c r="AC27" s="75"/>
      <c r="AD27" s="76"/>
      <c r="AE27" s="74">
        <v>162</v>
      </c>
      <c r="AF27" s="75"/>
      <c r="AG27" s="75"/>
      <c r="AH27" s="76"/>
      <c r="AI27" s="74">
        <v>123</v>
      </c>
      <c r="AJ27" s="75"/>
      <c r="AK27" s="75"/>
      <c r="AL27" s="76"/>
      <c r="AM27" s="70">
        <f t="shared" si="1"/>
        <v>285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5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210</v>
      </c>
      <c r="AB28" s="75"/>
      <c r="AC28" s="75"/>
      <c r="AD28" s="76"/>
      <c r="AE28" s="74">
        <v>180</v>
      </c>
      <c r="AF28" s="75"/>
      <c r="AG28" s="75"/>
      <c r="AH28" s="76"/>
      <c r="AI28" s="74">
        <v>208</v>
      </c>
      <c r="AJ28" s="75"/>
      <c r="AK28" s="75"/>
      <c r="AL28" s="76"/>
      <c r="AM28" s="70">
        <f t="shared" si="1"/>
        <v>388</v>
      </c>
      <c r="AN28" s="70"/>
      <c r="AO28" s="70"/>
      <c r="AP28" s="70"/>
      <c r="AR28" s="27"/>
      <c r="AS28" s="27" t="s">
        <v>23</v>
      </c>
      <c r="AT28" s="27" t="s">
        <v>22</v>
      </c>
      <c r="AU28" s="27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83</v>
      </c>
      <c r="G29" s="75"/>
      <c r="H29" s="76"/>
      <c r="I29" s="74">
        <v>69</v>
      </c>
      <c r="J29" s="75"/>
      <c r="K29" s="76"/>
      <c r="L29" s="75">
        <v>85</v>
      </c>
      <c r="M29" s="75"/>
      <c r="N29" s="76"/>
      <c r="O29" s="74">
        <f t="shared" si="0"/>
        <v>154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213</v>
      </c>
      <c r="AB29" s="75"/>
      <c r="AC29" s="75"/>
      <c r="AD29" s="76"/>
      <c r="AE29" s="74">
        <v>215</v>
      </c>
      <c r="AF29" s="75"/>
      <c r="AG29" s="75"/>
      <c r="AH29" s="76"/>
      <c r="AI29" s="74">
        <v>158</v>
      </c>
      <c r="AJ29" s="75"/>
      <c r="AK29" s="75"/>
      <c r="AL29" s="76"/>
      <c r="AM29" s="70">
        <f t="shared" si="1"/>
        <v>373</v>
      </c>
      <c r="AN29" s="70"/>
      <c r="AO29" s="70"/>
      <c r="AP29" s="70"/>
      <c r="AR29" s="27" t="s">
        <v>8</v>
      </c>
      <c r="AS29" s="9">
        <f>AE31</f>
        <v>11806</v>
      </c>
      <c r="AT29" s="9">
        <v>4333</v>
      </c>
      <c r="AU29" s="8">
        <f>IF(OR(AS29=0,AT29=0),"",ROUNDDOWN(AT29/AS29,4))</f>
        <v>0.36699999999999999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1476</v>
      </c>
      <c r="G30" s="75"/>
      <c r="H30" s="76"/>
      <c r="I30" s="74">
        <v>1497</v>
      </c>
      <c r="J30" s="75"/>
      <c r="K30" s="76"/>
      <c r="L30" s="75">
        <v>1636</v>
      </c>
      <c r="M30" s="75"/>
      <c r="N30" s="76"/>
      <c r="O30" s="74">
        <f t="shared" si="0"/>
        <v>3133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41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27" t="s">
        <v>6</v>
      </c>
      <c r="AS30" s="9">
        <f>AI31</f>
        <v>12898</v>
      </c>
      <c r="AT30" s="9">
        <v>5830</v>
      </c>
      <c r="AU30" s="8">
        <f>IF(OR(AS30=0,AT30=0),"",ROUNDDOWN(AT30/AS30,4))</f>
        <v>0.45200000000000001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559</v>
      </c>
      <c r="J31" s="75"/>
      <c r="K31" s="76"/>
      <c r="L31" s="75">
        <v>585</v>
      </c>
      <c r="M31" s="75"/>
      <c r="N31" s="76"/>
      <c r="O31" s="74">
        <f t="shared" si="0"/>
        <v>1144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12256</v>
      </c>
      <c r="AB31" s="75"/>
      <c r="AC31" s="75"/>
      <c r="AD31" s="76"/>
      <c r="AE31" s="74">
        <f>SUM(I8:K32,AE8:AH30)</f>
        <v>11806</v>
      </c>
      <c r="AF31" s="75"/>
      <c r="AG31" s="75"/>
      <c r="AH31" s="76"/>
      <c r="AI31" s="74">
        <f>SUM(L8:N32,AI8:AL30)</f>
        <v>12898</v>
      </c>
      <c r="AJ31" s="75"/>
      <c r="AK31" s="75"/>
      <c r="AL31" s="76"/>
      <c r="AM31" s="70">
        <f t="shared" si="1"/>
        <v>24704</v>
      </c>
      <c r="AN31" s="70"/>
      <c r="AO31" s="70"/>
      <c r="AP31" s="70"/>
      <c r="AR31" s="27" t="s">
        <v>15</v>
      </c>
      <c r="AS31" s="9">
        <f>AM31</f>
        <v>24704</v>
      </c>
      <c r="AT31" s="9">
        <f>AT29+AT30</f>
        <v>10163</v>
      </c>
      <c r="AU31" s="8">
        <f>IF(OR(AS31=0,AT31=0),"",ROUNDDOWN(AT31/AS31,4))</f>
        <v>0.4113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445</v>
      </c>
      <c r="G32" s="68"/>
      <c r="H32" s="69"/>
      <c r="I32" s="67">
        <v>416</v>
      </c>
      <c r="J32" s="68"/>
      <c r="K32" s="69"/>
      <c r="L32" s="68">
        <v>453</v>
      </c>
      <c r="M32" s="68"/>
      <c r="N32" s="69"/>
      <c r="O32" s="67">
        <f t="shared" si="0"/>
        <v>869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25" t="s">
        <v>12</v>
      </c>
      <c r="E34" s="60">
        <f>AM31-24789</f>
        <v>-85</v>
      </c>
      <c r="F34" s="60"/>
      <c r="G34" s="1" t="s">
        <v>0</v>
      </c>
      <c r="L34" s="1" t="s">
        <v>11</v>
      </c>
      <c r="O34" s="61">
        <f>AM31-25211</f>
        <v>-507</v>
      </c>
      <c r="P34" s="61"/>
      <c r="Q34" s="61"/>
      <c r="R34" s="61"/>
      <c r="S34" s="1" t="s">
        <v>0</v>
      </c>
      <c r="AG34" s="25" t="s">
        <v>13</v>
      </c>
      <c r="AH34" s="62">
        <f>AT31</f>
        <v>10163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25" t="s">
        <v>12</v>
      </c>
      <c r="E36" s="61">
        <f>AA31-12281</f>
        <v>-25</v>
      </c>
      <c r="F36" s="61"/>
      <c r="G36" s="1" t="s">
        <v>10</v>
      </c>
      <c r="L36" s="1" t="s">
        <v>11</v>
      </c>
      <c r="O36" s="61">
        <f>AA31-12307</f>
        <v>-51</v>
      </c>
      <c r="P36" s="61"/>
      <c r="Q36" s="61"/>
      <c r="R36" s="61"/>
      <c r="S36" s="1" t="s">
        <v>10</v>
      </c>
      <c r="Y36" s="1" t="s">
        <v>9</v>
      </c>
      <c r="AG36" s="25" t="s">
        <v>8</v>
      </c>
      <c r="AH36" s="62">
        <v>4333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25"/>
    </row>
    <row r="38" spans="3:39" ht="18.75" customHeight="1" x14ac:dyDescent="0.4">
      <c r="C38" s="26" t="s">
        <v>7</v>
      </c>
      <c r="AG38" s="25" t="s">
        <v>6</v>
      </c>
      <c r="AH38" s="62">
        <v>5830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25"/>
    </row>
    <row r="40" spans="3:39" ht="18.75" customHeight="1" x14ac:dyDescent="0.4">
      <c r="C40" s="4" t="s">
        <v>5</v>
      </c>
      <c r="AG40" s="25" t="s">
        <v>4</v>
      </c>
      <c r="AH40" s="63">
        <f>IF(OR(AH34=0,AM31=0),"",ROUNDDOWN(AH34/AM31*100,2))</f>
        <v>41.13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F42" s="58">
        <v>6</v>
      </c>
      <c r="G42" s="58"/>
      <c r="H42" s="58"/>
      <c r="I42" s="1" t="s">
        <v>0</v>
      </c>
      <c r="L42" s="1" t="s">
        <v>1</v>
      </c>
      <c r="S42" s="58">
        <v>31</v>
      </c>
      <c r="T42" s="58"/>
      <c r="U42" s="58"/>
      <c r="V42" s="1" t="s">
        <v>0</v>
      </c>
    </row>
  </sheetData>
  <mergeCells count="286">
    <mergeCell ref="F42:H42"/>
    <mergeCell ref="S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2" zoomScaleNormal="100" workbookViewId="0">
      <selection activeCell="AY29" sqref="AY29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2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29"/>
      <c r="H3" s="29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32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32"/>
      <c r="H4" s="11"/>
      <c r="I4" s="62" t="s">
        <v>10</v>
      </c>
      <c r="J4" s="62"/>
      <c r="K4" s="62"/>
      <c r="L4" s="62">
        <v>11204</v>
      </c>
      <c r="M4" s="62"/>
      <c r="N4" s="62"/>
      <c r="O4" s="30"/>
      <c r="P4" s="30"/>
      <c r="Q4" s="86" t="s">
        <v>71</v>
      </c>
      <c r="R4" s="86"/>
      <c r="S4" s="86"/>
      <c r="T4" s="93">
        <v>118.23</v>
      </c>
      <c r="U4" s="93"/>
      <c r="V4" s="93"/>
      <c r="W4" s="93"/>
      <c r="X4" s="30" t="s">
        <v>70</v>
      </c>
      <c r="Y4" s="30"/>
      <c r="Z4" s="30"/>
      <c r="AF4" s="6"/>
      <c r="AH4" s="32"/>
      <c r="AK4" s="29"/>
      <c r="AL4" s="32"/>
      <c r="AM4" s="30"/>
      <c r="AP4" s="29"/>
    </row>
    <row r="5" spans="2:44" ht="18.75" customHeight="1" x14ac:dyDescent="0.4">
      <c r="Z5" s="32"/>
      <c r="AA5" s="32"/>
      <c r="AB5" s="32"/>
      <c r="AC5" s="32"/>
      <c r="AD5" s="77" t="s">
        <v>77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1786</v>
      </c>
      <c r="G8" s="80"/>
      <c r="H8" s="81"/>
      <c r="I8" s="79">
        <v>1812</v>
      </c>
      <c r="J8" s="80"/>
      <c r="K8" s="81"/>
      <c r="L8" s="79">
        <v>1961</v>
      </c>
      <c r="M8" s="80"/>
      <c r="N8" s="81"/>
      <c r="O8" s="79">
        <f t="shared" ref="O8:O32" si="0">I8+L8</f>
        <v>3773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473</v>
      </c>
      <c r="AB8" s="80"/>
      <c r="AC8" s="80"/>
      <c r="AD8" s="81"/>
      <c r="AE8" s="79">
        <v>502</v>
      </c>
      <c r="AF8" s="80"/>
      <c r="AG8" s="80"/>
      <c r="AH8" s="81"/>
      <c r="AI8" s="79">
        <v>537</v>
      </c>
      <c r="AJ8" s="80"/>
      <c r="AK8" s="80"/>
      <c r="AL8" s="81"/>
      <c r="AM8" s="85">
        <f t="shared" ref="AM8:AM31" si="1">AE8+AI8</f>
        <v>1039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95</v>
      </c>
      <c r="G9" s="75"/>
      <c r="H9" s="76"/>
      <c r="I9" s="74">
        <v>89</v>
      </c>
      <c r="J9" s="75"/>
      <c r="K9" s="76"/>
      <c r="L9" s="74">
        <v>76</v>
      </c>
      <c r="M9" s="75"/>
      <c r="N9" s="76"/>
      <c r="O9" s="74">
        <f t="shared" si="0"/>
        <v>165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60</v>
      </c>
      <c r="AB9" s="75"/>
      <c r="AC9" s="75"/>
      <c r="AD9" s="76"/>
      <c r="AE9" s="74">
        <v>58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216</v>
      </c>
      <c r="G10" s="75"/>
      <c r="H10" s="76"/>
      <c r="I10" s="74">
        <v>181</v>
      </c>
      <c r="J10" s="75"/>
      <c r="K10" s="76"/>
      <c r="L10" s="74">
        <v>206</v>
      </c>
      <c r="M10" s="75"/>
      <c r="N10" s="76"/>
      <c r="O10" s="74">
        <f t="shared" si="0"/>
        <v>387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278</v>
      </c>
      <c r="AB10" s="75"/>
      <c r="AC10" s="75"/>
      <c r="AD10" s="76"/>
      <c r="AE10" s="74">
        <v>258</v>
      </c>
      <c r="AF10" s="75"/>
      <c r="AG10" s="75"/>
      <c r="AH10" s="76"/>
      <c r="AI10" s="74">
        <v>299</v>
      </c>
      <c r="AJ10" s="75"/>
      <c r="AK10" s="75"/>
      <c r="AL10" s="76"/>
      <c r="AM10" s="70">
        <f t="shared" si="1"/>
        <v>557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118</v>
      </c>
      <c r="G11" s="75"/>
      <c r="H11" s="76"/>
      <c r="I11" s="74">
        <v>103</v>
      </c>
      <c r="J11" s="75"/>
      <c r="K11" s="76"/>
      <c r="L11" s="74">
        <v>122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428</v>
      </c>
      <c r="AB11" s="75"/>
      <c r="AC11" s="75"/>
      <c r="AD11" s="76"/>
      <c r="AE11" s="74">
        <v>466</v>
      </c>
      <c r="AF11" s="75"/>
      <c r="AG11" s="75"/>
      <c r="AH11" s="76"/>
      <c r="AI11" s="74">
        <v>503</v>
      </c>
      <c r="AJ11" s="75"/>
      <c r="AK11" s="75"/>
      <c r="AL11" s="76"/>
      <c r="AM11" s="70">
        <f t="shared" si="1"/>
        <v>969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148</v>
      </c>
      <c r="G12" s="75"/>
      <c r="H12" s="76"/>
      <c r="I12" s="74">
        <v>151</v>
      </c>
      <c r="J12" s="75"/>
      <c r="K12" s="76"/>
      <c r="L12" s="74">
        <v>159</v>
      </c>
      <c r="M12" s="75"/>
      <c r="N12" s="76"/>
      <c r="O12" s="74">
        <f t="shared" si="0"/>
        <v>310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171</v>
      </c>
      <c r="AB12" s="75"/>
      <c r="AC12" s="75"/>
      <c r="AD12" s="76"/>
      <c r="AE12" s="74">
        <v>161</v>
      </c>
      <c r="AF12" s="75"/>
      <c r="AG12" s="75"/>
      <c r="AH12" s="76"/>
      <c r="AI12" s="74">
        <v>183</v>
      </c>
      <c r="AJ12" s="75"/>
      <c r="AK12" s="75"/>
      <c r="AL12" s="76"/>
      <c r="AM12" s="70">
        <f t="shared" si="1"/>
        <v>344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104</v>
      </c>
      <c r="G13" s="75"/>
      <c r="H13" s="76"/>
      <c r="I13" s="74">
        <v>92</v>
      </c>
      <c r="J13" s="75"/>
      <c r="K13" s="76"/>
      <c r="L13" s="74">
        <v>95</v>
      </c>
      <c r="M13" s="75"/>
      <c r="N13" s="76"/>
      <c r="O13" s="74">
        <f t="shared" si="0"/>
        <v>187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131</v>
      </c>
      <c r="AB13" s="75"/>
      <c r="AC13" s="75"/>
      <c r="AD13" s="76"/>
      <c r="AE13" s="74">
        <v>128</v>
      </c>
      <c r="AF13" s="75"/>
      <c r="AG13" s="75"/>
      <c r="AH13" s="76"/>
      <c r="AI13" s="74">
        <v>131</v>
      </c>
      <c r="AJ13" s="75"/>
      <c r="AK13" s="75"/>
      <c r="AL13" s="76"/>
      <c r="AM13" s="70">
        <f t="shared" si="1"/>
        <v>259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6</v>
      </c>
      <c r="G14" s="75"/>
      <c r="H14" s="76"/>
      <c r="I14" s="74">
        <v>7</v>
      </c>
      <c r="J14" s="75"/>
      <c r="K14" s="76"/>
      <c r="L14" s="74">
        <v>3</v>
      </c>
      <c r="M14" s="75"/>
      <c r="N14" s="76"/>
      <c r="O14" s="74">
        <f t="shared" si="0"/>
        <v>10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1348</v>
      </c>
      <c r="AB14" s="75"/>
      <c r="AC14" s="75"/>
      <c r="AD14" s="76"/>
      <c r="AE14" s="74">
        <v>1269</v>
      </c>
      <c r="AF14" s="75"/>
      <c r="AG14" s="75"/>
      <c r="AH14" s="76"/>
      <c r="AI14" s="74">
        <v>1424</v>
      </c>
      <c r="AJ14" s="75"/>
      <c r="AK14" s="75"/>
      <c r="AL14" s="76"/>
      <c r="AM14" s="70">
        <f t="shared" si="1"/>
        <v>2693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246</v>
      </c>
      <c r="G15" s="75"/>
      <c r="H15" s="76"/>
      <c r="I15" s="74">
        <v>247</v>
      </c>
      <c r="J15" s="75"/>
      <c r="K15" s="76"/>
      <c r="L15" s="74">
        <v>279</v>
      </c>
      <c r="M15" s="75"/>
      <c r="N15" s="76"/>
      <c r="O15" s="74">
        <f t="shared" si="0"/>
        <v>526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7</v>
      </c>
      <c r="AB15" s="75"/>
      <c r="AC15" s="75"/>
      <c r="AD15" s="76"/>
      <c r="AE15" s="74">
        <v>6</v>
      </c>
      <c r="AF15" s="75"/>
      <c r="AG15" s="75"/>
      <c r="AH15" s="76"/>
      <c r="AI15" s="74">
        <v>7</v>
      </c>
      <c r="AJ15" s="75"/>
      <c r="AK15" s="75"/>
      <c r="AL15" s="76"/>
      <c r="AM15" s="70">
        <f t="shared" si="1"/>
        <v>13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242</v>
      </c>
      <c r="G16" s="75"/>
      <c r="H16" s="76"/>
      <c r="I16" s="74">
        <v>218</v>
      </c>
      <c r="J16" s="75"/>
      <c r="K16" s="76"/>
      <c r="L16" s="74">
        <v>257</v>
      </c>
      <c r="M16" s="75"/>
      <c r="N16" s="76"/>
      <c r="O16" s="74">
        <f t="shared" si="0"/>
        <v>475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42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93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121</v>
      </c>
      <c r="G17" s="75"/>
      <c r="H17" s="76"/>
      <c r="I17" s="74">
        <v>157</v>
      </c>
      <c r="J17" s="75"/>
      <c r="K17" s="76"/>
      <c r="L17" s="74">
        <v>179</v>
      </c>
      <c r="M17" s="75"/>
      <c r="N17" s="76"/>
      <c r="O17" s="74">
        <f t="shared" si="0"/>
        <v>336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246</v>
      </c>
      <c r="AB17" s="75"/>
      <c r="AC17" s="75"/>
      <c r="AD17" s="76"/>
      <c r="AE17" s="74">
        <v>226</v>
      </c>
      <c r="AF17" s="75"/>
      <c r="AG17" s="75"/>
      <c r="AH17" s="76"/>
      <c r="AI17" s="74">
        <v>256</v>
      </c>
      <c r="AJ17" s="75"/>
      <c r="AK17" s="75"/>
      <c r="AL17" s="76"/>
      <c r="AM17" s="70">
        <f t="shared" si="1"/>
        <v>482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156</v>
      </c>
      <c r="J18" s="75"/>
      <c r="K18" s="76"/>
      <c r="L18" s="74">
        <v>182</v>
      </c>
      <c r="M18" s="75"/>
      <c r="N18" s="76"/>
      <c r="O18" s="74">
        <f t="shared" si="0"/>
        <v>338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238</v>
      </c>
      <c r="AB18" s="75"/>
      <c r="AC18" s="75"/>
      <c r="AD18" s="76"/>
      <c r="AE18" s="74">
        <v>198</v>
      </c>
      <c r="AF18" s="75"/>
      <c r="AG18" s="75"/>
      <c r="AH18" s="76"/>
      <c r="AI18" s="74">
        <v>209</v>
      </c>
      <c r="AJ18" s="75"/>
      <c r="AK18" s="75"/>
      <c r="AL18" s="76"/>
      <c r="AM18" s="70">
        <f t="shared" si="1"/>
        <v>407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4">
        <v>154</v>
      </c>
      <c r="M19" s="75"/>
      <c r="N19" s="76"/>
      <c r="O19" s="74">
        <f t="shared" si="0"/>
        <v>293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72</v>
      </c>
      <c r="AB19" s="75"/>
      <c r="AC19" s="75"/>
      <c r="AD19" s="76"/>
      <c r="AE19" s="74">
        <v>51</v>
      </c>
      <c r="AF19" s="75"/>
      <c r="AG19" s="75"/>
      <c r="AH19" s="76"/>
      <c r="AI19" s="74">
        <v>63</v>
      </c>
      <c r="AJ19" s="75"/>
      <c r="AK19" s="75"/>
      <c r="AL19" s="76"/>
      <c r="AM19" s="70">
        <f t="shared" si="1"/>
        <v>114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78</v>
      </c>
      <c r="G20" s="75"/>
      <c r="H20" s="76"/>
      <c r="I20" s="74">
        <v>69</v>
      </c>
      <c r="J20" s="75"/>
      <c r="K20" s="76"/>
      <c r="L20" s="74">
        <v>61</v>
      </c>
      <c r="M20" s="75"/>
      <c r="N20" s="76"/>
      <c r="O20" s="74">
        <f t="shared" si="0"/>
        <v>130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98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227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81</v>
      </c>
      <c r="G21" s="75"/>
      <c r="H21" s="76"/>
      <c r="I21" s="74">
        <v>47</v>
      </c>
      <c r="J21" s="75"/>
      <c r="K21" s="76"/>
      <c r="L21" s="74">
        <v>71</v>
      </c>
      <c r="M21" s="75"/>
      <c r="N21" s="76"/>
      <c r="O21" s="74">
        <f t="shared" si="0"/>
        <v>118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100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220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4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249</v>
      </c>
      <c r="AB22" s="75"/>
      <c r="AC22" s="75"/>
      <c r="AD22" s="76"/>
      <c r="AE22" s="74">
        <v>252</v>
      </c>
      <c r="AF22" s="75"/>
      <c r="AG22" s="75"/>
      <c r="AH22" s="76"/>
      <c r="AI22" s="74">
        <v>295</v>
      </c>
      <c r="AJ22" s="75"/>
      <c r="AK22" s="75"/>
      <c r="AL22" s="76"/>
      <c r="AM22" s="70">
        <f t="shared" si="1"/>
        <v>547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4">
        <v>183</v>
      </c>
      <c r="M23" s="75"/>
      <c r="N23" s="76"/>
      <c r="O23" s="74">
        <f t="shared" si="0"/>
        <v>346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18</v>
      </c>
      <c r="AB23" s="75"/>
      <c r="AC23" s="75"/>
      <c r="AD23" s="76"/>
      <c r="AE23" s="74">
        <v>11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29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223</v>
      </c>
      <c r="G24" s="75"/>
      <c r="H24" s="76"/>
      <c r="I24" s="74">
        <v>230</v>
      </c>
      <c r="J24" s="75"/>
      <c r="K24" s="76"/>
      <c r="L24" s="74">
        <v>234</v>
      </c>
      <c r="M24" s="75"/>
      <c r="N24" s="76"/>
      <c r="O24" s="74">
        <f t="shared" si="0"/>
        <v>464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145</v>
      </c>
      <c r="AB24" s="75"/>
      <c r="AC24" s="75"/>
      <c r="AD24" s="76"/>
      <c r="AE24" s="74">
        <v>130</v>
      </c>
      <c r="AF24" s="75"/>
      <c r="AG24" s="75"/>
      <c r="AH24" s="76"/>
      <c r="AI24" s="74">
        <v>134</v>
      </c>
      <c r="AJ24" s="75"/>
      <c r="AK24" s="75"/>
      <c r="AL24" s="76"/>
      <c r="AM24" s="70">
        <f t="shared" si="1"/>
        <v>264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162</v>
      </c>
      <c r="J25" s="75"/>
      <c r="K25" s="76"/>
      <c r="L25" s="74">
        <v>180</v>
      </c>
      <c r="M25" s="75"/>
      <c r="N25" s="76"/>
      <c r="O25" s="74">
        <f t="shared" si="0"/>
        <v>342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236</v>
      </c>
      <c r="AB25" s="75"/>
      <c r="AC25" s="75"/>
      <c r="AD25" s="76"/>
      <c r="AE25" s="74">
        <v>188</v>
      </c>
      <c r="AF25" s="75"/>
      <c r="AG25" s="75"/>
      <c r="AH25" s="76"/>
      <c r="AI25" s="74">
        <v>194</v>
      </c>
      <c r="AJ25" s="75"/>
      <c r="AK25" s="75"/>
      <c r="AL25" s="76"/>
      <c r="AM25" s="70">
        <f t="shared" si="1"/>
        <v>382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170</v>
      </c>
      <c r="G26" s="75"/>
      <c r="H26" s="76"/>
      <c r="I26" s="74">
        <v>161</v>
      </c>
      <c r="J26" s="75"/>
      <c r="K26" s="76"/>
      <c r="L26" s="74">
        <v>184</v>
      </c>
      <c r="M26" s="75"/>
      <c r="N26" s="76"/>
      <c r="O26" s="74">
        <f t="shared" si="0"/>
        <v>345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153</v>
      </c>
      <c r="AB26" s="75"/>
      <c r="AC26" s="75"/>
      <c r="AD26" s="76"/>
      <c r="AE26" s="74">
        <v>132</v>
      </c>
      <c r="AF26" s="75"/>
      <c r="AG26" s="75"/>
      <c r="AH26" s="76"/>
      <c r="AI26" s="74">
        <v>149</v>
      </c>
      <c r="AJ26" s="75"/>
      <c r="AK26" s="75"/>
      <c r="AL26" s="76"/>
      <c r="AM26" s="70">
        <f t="shared" si="1"/>
        <v>281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146</v>
      </c>
      <c r="G27" s="75"/>
      <c r="H27" s="76"/>
      <c r="I27" s="74">
        <v>129</v>
      </c>
      <c r="J27" s="75"/>
      <c r="K27" s="76"/>
      <c r="L27" s="74">
        <v>151</v>
      </c>
      <c r="M27" s="75"/>
      <c r="N27" s="76"/>
      <c r="O27" s="74">
        <f t="shared" si="0"/>
        <v>280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181</v>
      </c>
      <c r="AB27" s="75"/>
      <c r="AC27" s="75"/>
      <c r="AD27" s="76"/>
      <c r="AE27" s="74">
        <v>156</v>
      </c>
      <c r="AF27" s="75"/>
      <c r="AG27" s="75"/>
      <c r="AH27" s="76"/>
      <c r="AI27" s="74">
        <v>121</v>
      </c>
      <c r="AJ27" s="75"/>
      <c r="AK27" s="75"/>
      <c r="AL27" s="76"/>
      <c r="AM27" s="70">
        <f t="shared" si="1"/>
        <v>277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210</v>
      </c>
      <c r="AB28" s="75"/>
      <c r="AC28" s="75"/>
      <c r="AD28" s="76"/>
      <c r="AE28" s="74">
        <v>180</v>
      </c>
      <c r="AF28" s="75"/>
      <c r="AG28" s="75"/>
      <c r="AH28" s="76"/>
      <c r="AI28" s="74">
        <v>208</v>
      </c>
      <c r="AJ28" s="75"/>
      <c r="AK28" s="75"/>
      <c r="AL28" s="76"/>
      <c r="AM28" s="70">
        <f t="shared" si="1"/>
        <v>388</v>
      </c>
      <c r="AN28" s="70"/>
      <c r="AO28" s="70"/>
      <c r="AP28" s="70"/>
      <c r="AR28" s="31"/>
      <c r="AS28" s="31" t="s">
        <v>23</v>
      </c>
      <c r="AT28" s="31" t="s">
        <v>22</v>
      </c>
      <c r="AU28" s="31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70</v>
      </c>
      <c r="J29" s="75"/>
      <c r="K29" s="76"/>
      <c r="L29" s="74">
        <v>87</v>
      </c>
      <c r="M29" s="75"/>
      <c r="N29" s="76"/>
      <c r="O29" s="74">
        <f t="shared" si="0"/>
        <v>157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211</v>
      </c>
      <c r="AB29" s="75"/>
      <c r="AC29" s="75"/>
      <c r="AD29" s="76"/>
      <c r="AE29" s="74">
        <v>212</v>
      </c>
      <c r="AF29" s="75"/>
      <c r="AG29" s="75"/>
      <c r="AH29" s="76"/>
      <c r="AI29" s="74">
        <v>157</v>
      </c>
      <c r="AJ29" s="75"/>
      <c r="AK29" s="75"/>
      <c r="AL29" s="76"/>
      <c r="AM29" s="70">
        <f t="shared" si="1"/>
        <v>369</v>
      </c>
      <c r="AN29" s="70"/>
      <c r="AO29" s="70"/>
      <c r="AP29" s="70"/>
      <c r="AR29" s="31" t="s">
        <v>8</v>
      </c>
      <c r="AS29" s="9">
        <f>AE31</f>
        <v>11789</v>
      </c>
      <c r="AT29" s="9">
        <v>4332</v>
      </c>
      <c r="AU29" s="8">
        <f>IF(OR(AS29=0,AT29=0),"",ROUNDDOWN(AT29/AS29,4))</f>
        <v>0.3674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1475</v>
      </c>
      <c r="G30" s="75"/>
      <c r="H30" s="76"/>
      <c r="I30" s="74">
        <v>1493</v>
      </c>
      <c r="J30" s="75"/>
      <c r="K30" s="76"/>
      <c r="L30" s="74">
        <v>1636</v>
      </c>
      <c r="M30" s="75"/>
      <c r="N30" s="76"/>
      <c r="O30" s="74">
        <f t="shared" si="0"/>
        <v>3129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40</v>
      </c>
      <c r="AF30" s="75"/>
      <c r="AG30" s="75"/>
      <c r="AH30" s="76"/>
      <c r="AI30" s="74">
        <v>46</v>
      </c>
      <c r="AJ30" s="75"/>
      <c r="AK30" s="75"/>
      <c r="AL30" s="76"/>
      <c r="AM30" s="70">
        <f t="shared" si="1"/>
        <v>86</v>
      </c>
      <c r="AN30" s="70"/>
      <c r="AO30" s="70"/>
      <c r="AP30" s="70"/>
      <c r="AR30" s="31" t="s">
        <v>6</v>
      </c>
      <c r="AS30" s="9">
        <f>AI31</f>
        <v>12887</v>
      </c>
      <c r="AT30" s="9">
        <v>5831</v>
      </c>
      <c r="AU30" s="8">
        <f>IF(OR(AS30=0,AT30=0),"",ROUNDDOWN(AT30/AS30,4))</f>
        <v>0.45240000000000002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557</v>
      </c>
      <c r="J31" s="75"/>
      <c r="K31" s="76"/>
      <c r="L31" s="74">
        <v>585</v>
      </c>
      <c r="M31" s="75"/>
      <c r="N31" s="76"/>
      <c r="O31" s="74">
        <f t="shared" si="0"/>
        <v>1142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12250</v>
      </c>
      <c r="AB31" s="75"/>
      <c r="AC31" s="75"/>
      <c r="AD31" s="76"/>
      <c r="AE31" s="74">
        <f>SUM(I8:K32,AE8:AH30)</f>
        <v>11789</v>
      </c>
      <c r="AF31" s="75"/>
      <c r="AG31" s="75"/>
      <c r="AH31" s="76"/>
      <c r="AI31" s="74">
        <f>SUM(L8:N32,AI8:AL30)</f>
        <v>12887</v>
      </c>
      <c r="AJ31" s="75"/>
      <c r="AK31" s="75"/>
      <c r="AL31" s="76"/>
      <c r="AM31" s="70">
        <f t="shared" si="1"/>
        <v>24676</v>
      </c>
      <c r="AN31" s="70"/>
      <c r="AO31" s="70"/>
      <c r="AP31" s="70"/>
      <c r="AR31" s="31" t="s">
        <v>15</v>
      </c>
      <c r="AS31" s="9">
        <f>AM31</f>
        <v>24676</v>
      </c>
      <c r="AT31" s="9">
        <f>AT29+AT30</f>
        <v>10163</v>
      </c>
      <c r="AU31" s="8">
        <f>IF(OR(AS31=0,AT31=0),"",ROUNDDOWN(AT31/AS31,4))</f>
        <v>0.4118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444</v>
      </c>
      <c r="G32" s="68"/>
      <c r="H32" s="69"/>
      <c r="I32" s="67">
        <v>414</v>
      </c>
      <c r="J32" s="68"/>
      <c r="K32" s="69"/>
      <c r="L32" s="67">
        <v>453</v>
      </c>
      <c r="M32" s="68"/>
      <c r="N32" s="69"/>
      <c r="O32" s="67">
        <f t="shared" si="0"/>
        <v>867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29" t="s">
        <v>12</v>
      </c>
      <c r="E34" s="60">
        <f>AM31-24704</f>
        <v>-28</v>
      </c>
      <c r="F34" s="60"/>
      <c r="G34" s="1" t="s">
        <v>0</v>
      </c>
      <c r="L34" s="1" t="s">
        <v>11</v>
      </c>
      <c r="O34" s="61">
        <f>AM31-25174</f>
        <v>-498</v>
      </c>
      <c r="P34" s="61"/>
      <c r="Q34" s="61"/>
      <c r="R34" s="61"/>
      <c r="S34" s="1" t="s">
        <v>0</v>
      </c>
      <c r="AG34" s="29" t="s">
        <v>13</v>
      </c>
      <c r="AH34" s="62">
        <f>AT31</f>
        <v>10163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29" t="s">
        <v>12</v>
      </c>
      <c r="E36" s="61">
        <f>AA31-12256</f>
        <v>-6</v>
      </c>
      <c r="F36" s="61"/>
      <c r="G36" s="1" t="s">
        <v>10</v>
      </c>
      <c r="L36" s="1" t="s">
        <v>11</v>
      </c>
      <c r="O36" s="61">
        <f>AA31-12306</f>
        <v>-56</v>
      </c>
      <c r="P36" s="61"/>
      <c r="Q36" s="61"/>
      <c r="R36" s="61"/>
      <c r="S36" s="1" t="s">
        <v>10</v>
      </c>
      <c r="Y36" s="1" t="s">
        <v>9</v>
      </c>
      <c r="AG36" s="29" t="s">
        <v>8</v>
      </c>
      <c r="AH36" s="62">
        <f>AT29</f>
        <v>4332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29"/>
    </row>
    <row r="38" spans="3:39" ht="18.75" customHeight="1" x14ac:dyDescent="0.4">
      <c r="C38" s="30" t="s">
        <v>7</v>
      </c>
      <c r="AG38" s="29" t="s">
        <v>6</v>
      </c>
      <c r="AH38" s="62">
        <f>AT30</f>
        <v>5831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29"/>
    </row>
    <row r="40" spans="3:39" ht="18.75" customHeight="1" x14ac:dyDescent="0.4">
      <c r="C40" s="4" t="s">
        <v>5</v>
      </c>
      <c r="AG40" s="29" t="s">
        <v>4</v>
      </c>
      <c r="AH40" s="63">
        <f>IF(OR(AH34=0,AM31=0),"",ROUNDDOWN(AH34/AM31*100,2))</f>
        <v>41.18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8">
        <v>10</v>
      </c>
      <c r="H42" s="58"/>
      <c r="I42" s="1" t="s">
        <v>0</v>
      </c>
      <c r="L42" s="1" t="s">
        <v>1</v>
      </c>
      <c r="T42" s="58">
        <v>24</v>
      </c>
      <c r="U42" s="58"/>
      <c r="V42" s="1" t="s">
        <v>0</v>
      </c>
    </row>
  </sheetData>
  <mergeCells count="286"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8" zoomScaleNormal="100" zoomScaleSheetLayoutView="100" workbookViewId="0">
      <selection activeCell="AE50" sqref="AE50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6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33"/>
      <c r="H3" s="33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36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36"/>
      <c r="H4" s="11"/>
      <c r="I4" s="62" t="s">
        <v>10</v>
      </c>
      <c r="J4" s="62"/>
      <c r="K4" s="62"/>
      <c r="L4" s="62">
        <v>11204</v>
      </c>
      <c r="M4" s="62"/>
      <c r="N4" s="62"/>
      <c r="O4" s="34"/>
      <c r="P4" s="34"/>
      <c r="Q4" s="86" t="s">
        <v>71</v>
      </c>
      <c r="R4" s="86"/>
      <c r="S4" s="86"/>
      <c r="T4" s="93">
        <v>118.23</v>
      </c>
      <c r="U4" s="93"/>
      <c r="V4" s="93"/>
      <c r="W4" s="93"/>
      <c r="X4" s="34" t="s">
        <v>70</v>
      </c>
      <c r="Y4" s="34"/>
      <c r="Z4" s="34"/>
      <c r="AF4" s="6"/>
      <c r="AH4" s="36"/>
      <c r="AK4" s="33"/>
      <c r="AL4" s="36"/>
      <c r="AM4" s="34"/>
      <c r="AP4" s="33"/>
    </row>
    <row r="5" spans="2:44" ht="18.75" customHeight="1" x14ac:dyDescent="0.4">
      <c r="Z5" s="36"/>
      <c r="AA5" s="36"/>
      <c r="AB5" s="36"/>
      <c r="AC5" s="36"/>
      <c r="AD5" s="77" t="s">
        <v>78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1794</v>
      </c>
      <c r="G8" s="80"/>
      <c r="H8" s="81"/>
      <c r="I8" s="79">
        <v>1811</v>
      </c>
      <c r="J8" s="80"/>
      <c r="K8" s="81"/>
      <c r="L8" s="79">
        <v>1967</v>
      </c>
      <c r="M8" s="80"/>
      <c r="N8" s="81"/>
      <c r="O8" s="79">
        <f t="shared" ref="O8:O32" si="0">I8+L8</f>
        <v>3778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471</v>
      </c>
      <c r="AB8" s="80"/>
      <c r="AC8" s="80"/>
      <c r="AD8" s="81"/>
      <c r="AE8" s="79">
        <v>496</v>
      </c>
      <c r="AF8" s="80"/>
      <c r="AG8" s="80"/>
      <c r="AH8" s="81"/>
      <c r="AI8" s="79">
        <v>530</v>
      </c>
      <c r="AJ8" s="80"/>
      <c r="AK8" s="80"/>
      <c r="AL8" s="81"/>
      <c r="AM8" s="85">
        <f t="shared" ref="AM8:AM31" si="1">AE8+AI8</f>
        <v>1026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94</v>
      </c>
      <c r="G9" s="75"/>
      <c r="H9" s="76"/>
      <c r="I9" s="74">
        <v>89</v>
      </c>
      <c r="J9" s="75"/>
      <c r="K9" s="76"/>
      <c r="L9" s="74">
        <v>74</v>
      </c>
      <c r="M9" s="75"/>
      <c r="N9" s="76"/>
      <c r="O9" s="74">
        <f t="shared" si="0"/>
        <v>163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59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122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215</v>
      </c>
      <c r="G10" s="75"/>
      <c r="H10" s="76"/>
      <c r="I10" s="74">
        <v>181</v>
      </c>
      <c r="J10" s="75"/>
      <c r="K10" s="76"/>
      <c r="L10" s="74">
        <v>206</v>
      </c>
      <c r="M10" s="75"/>
      <c r="N10" s="76"/>
      <c r="O10" s="74">
        <f t="shared" si="0"/>
        <v>387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278</v>
      </c>
      <c r="AB10" s="75"/>
      <c r="AC10" s="75"/>
      <c r="AD10" s="76"/>
      <c r="AE10" s="74">
        <v>258</v>
      </c>
      <c r="AF10" s="75"/>
      <c r="AG10" s="75"/>
      <c r="AH10" s="76"/>
      <c r="AI10" s="74">
        <v>300</v>
      </c>
      <c r="AJ10" s="75"/>
      <c r="AK10" s="75"/>
      <c r="AL10" s="76"/>
      <c r="AM10" s="70">
        <f t="shared" si="1"/>
        <v>558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118</v>
      </c>
      <c r="G11" s="75"/>
      <c r="H11" s="76"/>
      <c r="I11" s="74">
        <v>103</v>
      </c>
      <c r="J11" s="75"/>
      <c r="K11" s="76"/>
      <c r="L11" s="74">
        <v>122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427</v>
      </c>
      <c r="AB11" s="75"/>
      <c r="AC11" s="75"/>
      <c r="AD11" s="76"/>
      <c r="AE11" s="74">
        <v>466</v>
      </c>
      <c r="AF11" s="75"/>
      <c r="AG11" s="75"/>
      <c r="AH11" s="76"/>
      <c r="AI11" s="74">
        <v>502</v>
      </c>
      <c r="AJ11" s="75"/>
      <c r="AK11" s="75"/>
      <c r="AL11" s="76"/>
      <c r="AM11" s="70">
        <f t="shared" si="1"/>
        <v>968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147</v>
      </c>
      <c r="G12" s="75"/>
      <c r="H12" s="76"/>
      <c r="I12" s="74">
        <v>152</v>
      </c>
      <c r="J12" s="75"/>
      <c r="K12" s="76"/>
      <c r="L12" s="74">
        <v>157</v>
      </c>
      <c r="M12" s="75"/>
      <c r="N12" s="76"/>
      <c r="O12" s="74">
        <f t="shared" si="0"/>
        <v>309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171</v>
      </c>
      <c r="AB12" s="75"/>
      <c r="AC12" s="75"/>
      <c r="AD12" s="76"/>
      <c r="AE12" s="74">
        <v>161</v>
      </c>
      <c r="AF12" s="75"/>
      <c r="AG12" s="75"/>
      <c r="AH12" s="76"/>
      <c r="AI12" s="74">
        <v>183</v>
      </c>
      <c r="AJ12" s="75"/>
      <c r="AK12" s="75"/>
      <c r="AL12" s="76"/>
      <c r="AM12" s="70">
        <f t="shared" si="1"/>
        <v>344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107</v>
      </c>
      <c r="G13" s="75"/>
      <c r="H13" s="76"/>
      <c r="I13" s="74">
        <v>95</v>
      </c>
      <c r="J13" s="75"/>
      <c r="K13" s="76"/>
      <c r="L13" s="74">
        <v>94</v>
      </c>
      <c r="M13" s="75"/>
      <c r="N13" s="76"/>
      <c r="O13" s="74">
        <f t="shared" si="0"/>
        <v>189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129</v>
      </c>
      <c r="AF13" s="75"/>
      <c r="AG13" s="75"/>
      <c r="AH13" s="76"/>
      <c r="AI13" s="74">
        <v>132</v>
      </c>
      <c r="AJ13" s="75"/>
      <c r="AK13" s="75"/>
      <c r="AL13" s="76"/>
      <c r="AM13" s="70">
        <f t="shared" si="1"/>
        <v>261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1347</v>
      </c>
      <c r="AB14" s="75"/>
      <c r="AC14" s="75"/>
      <c r="AD14" s="76"/>
      <c r="AE14" s="74">
        <v>1267</v>
      </c>
      <c r="AF14" s="75"/>
      <c r="AG14" s="75"/>
      <c r="AH14" s="76"/>
      <c r="AI14" s="74">
        <v>1419</v>
      </c>
      <c r="AJ14" s="75"/>
      <c r="AK14" s="75"/>
      <c r="AL14" s="76"/>
      <c r="AM14" s="70">
        <f t="shared" si="1"/>
        <v>2686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241</v>
      </c>
      <c r="G15" s="75"/>
      <c r="H15" s="76"/>
      <c r="I15" s="74">
        <v>244</v>
      </c>
      <c r="J15" s="75"/>
      <c r="K15" s="76"/>
      <c r="L15" s="74">
        <v>275</v>
      </c>
      <c r="M15" s="75"/>
      <c r="N15" s="76"/>
      <c r="O15" s="74">
        <f t="shared" si="0"/>
        <v>519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7</v>
      </c>
      <c r="AF15" s="75"/>
      <c r="AG15" s="75"/>
      <c r="AH15" s="76"/>
      <c r="AI15" s="74">
        <v>7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240</v>
      </c>
      <c r="G16" s="75"/>
      <c r="H16" s="76"/>
      <c r="I16" s="74">
        <v>216</v>
      </c>
      <c r="J16" s="75"/>
      <c r="K16" s="76"/>
      <c r="L16" s="74">
        <v>253</v>
      </c>
      <c r="M16" s="75"/>
      <c r="N16" s="76"/>
      <c r="O16" s="74">
        <f t="shared" si="0"/>
        <v>469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41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92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122</v>
      </c>
      <c r="G17" s="75"/>
      <c r="H17" s="76"/>
      <c r="I17" s="74">
        <v>158</v>
      </c>
      <c r="J17" s="75"/>
      <c r="K17" s="76"/>
      <c r="L17" s="74">
        <v>182</v>
      </c>
      <c r="M17" s="75"/>
      <c r="N17" s="76"/>
      <c r="O17" s="74">
        <f t="shared" si="0"/>
        <v>340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247</v>
      </c>
      <c r="AB17" s="75"/>
      <c r="AC17" s="75"/>
      <c r="AD17" s="76"/>
      <c r="AE17" s="74">
        <v>226</v>
      </c>
      <c r="AF17" s="75"/>
      <c r="AG17" s="75"/>
      <c r="AH17" s="76"/>
      <c r="AI17" s="74">
        <v>257</v>
      </c>
      <c r="AJ17" s="75"/>
      <c r="AK17" s="75"/>
      <c r="AL17" s="76"/>
      <c r="AM17" s="70">
        <f t="shared" si="1"/>
        <v>483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157</v>
      </c>
      <c r="J18" s="75"/>
      <c r="K18" s="76"/>
      <c r="L18" s="74">
        <v>182</v>
      </c>
      <c r="M18" s="75"/>
      <c r="N18" s="76"/>
      <c r="O18" s="74">
        <f t="shared" si="0"/>
        <v>339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236</v>
      </c>
      <c r="AB18" s="75"/>
      <c r="AC18" s="75"/>
      <c r="AD18" s="76"/>
      <c r="AE18" s="74">
        <v>197</v>
      </c>
      <c r="AF18" s="75"/>
      <c r="AG18" s="75"/>
      <c r="AH18" s="76"/>
      <c r="AI18" s="74">
        <v>207</v>
      </c>
      <c r="AJ18" s="75"/>
      <c r="AK18" s="75"/>
      <c r="AL18" s="76"/>
      <c r="AM18" s="70">
        <f t="shared" si="1"/>
        <v>404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4">
        <v>154</v>
      </c>
      <c r="M19" s="75"/>
      <c r="N19" s="76"/>
      <c r="O19" s="74">
        <f t="shared" si="0"/>
        <v>293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72</v>
      </c>
      <c r="AB19" s="75"/>
      <c r="AC19" s="75"/>
      <c r="AD19" s="76"/>
      <c r="AE19" s="74">
        <v>52</v>
      </c>
      <c r="AF19" s="75"/>
      <c r="AG19" s="75"/>
      <c r="AH19" s="76"/>
      <c r="AI19" s="74">
        <v>64</v>
      </c>
      <c r="AJ19" s="75"/>
      <c r="AK19" s="75"/>
      <c r="AL19" s="76"/>
      <c r="AM19" s="70">
        <f t="shared" si="1"/>
        <v>116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77</v>
      </c>
      <c r="G20" s="75"/>
      <c r="H20" s="76"/>
      <c r="I20" s="74">
        <v>68</v>
      </c>
      <c r="J20" s="75"/>
      <c r="K20" s="76"/>
      <c r="L20" s="74">
        <v>61</v>
      </c>
      <c r="M20" s="75"/>
      <c r="N20" s="76"/>
      <c r="O20" s="74">
        <f t="shared" si="0"/>
        <v>129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98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227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82</v>
      </c>
      <c r="G21" s="75"/>
      <c r="H21" s="76"/>
      <c r="I21" s="74">
        <v>47</v>
      </c>
      <c r="J21" s="75"/>
      <c r="K21" s="76"/>
      <c r="L21" s="74">
        <v>72</v>
      </c>
      <c r="M21" s="75"/>
      <c r="N21" s="76"/>
      <c r="O21" s="74">
        <f t="shared" si="0"/>
        <v>119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99</v>
      </c>
      <c r="AF21" s="75"/>
      <c r="AG21" s="75"/>
      <c r="AH21" s="76"/>
      <c r="AI21" s="74">
        <v>118</v>
      </c>
      <c r="AJ21" s="75"/>
      <c r="AK21" s="75"/>
      <c r="AL21" s="76"/>
      <c r="AM21" s="70">
        <f t="shared" si="1"/>
        <v>217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4">
        <v>34</v>
      </c>
      <c r="M22" s="75"/>
      <c r="N22" s="76"/>
      <c r="O22" s="74">
        <f t="shared" si="0"/>
        <v>66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248</v>
      </c>
      <c r="AB22" s="75"/>
      <c r="AC22" s="75"/>
      <c r="AD22" s="76"/>
      <c r="AE22" s="74">
        <v>250</v>
      </c>
      <c r="AF22" s="75"/>
      <c r="AG22" s="75"/>
      <c r="AH22" s="76"/>
      <c r="AI22" s="74">
        <v>294</v>
      </c>
      <c r="AJ22" s="75"/>
      <c r="AK22" s="75"/>
      <c r="AL22" s="76"/>
      <c r="AM22" s="70">
        <f t="shared" si="1"/>
        <v>544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163</v>
      </c>
      <c r="J23" s="75"/>
      <c r="K23" s="76"/>
      <c r="L23" s="74">
        <v>183</v>
      </c>
      <c r="M23" s="75"/>
      <c r="N23" s="76"/>
      <c r="O23" s="74">
        <f t="shared" si="0"/>
        <v>346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16</v>
      </c>
      <c r="AB23" s="75"/>
      <c r="AC23" s="75"/>
      <c r="AD23" s="76"/>
      <c r="AE23" s="74">
        <v>10</v>
      </c>
      <c r="AF23" s="75"/>
      <c r="AG23" s="75"/>
      <c r="AH23" s="76"/>
      <c r="AI23" s="74">
        <v>17</v>
      </c>
      <c r="AJ23" s="75"/>
      <c r="AK23" s="75"/>
      <c r="AL23" s="76"/>
      <c r="AM23" s="70">
        <f t="shared" si="1"/>
        <v>27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222</v>
      </c>
      <c r="G24" s="75"/>
      <c r="H24" s="76"/>
      <c r="I24" s="74">
        <v>229</v>
      </c>
      <c r="J24" s="75"/>
      <c r="K24" s="76"/>
      <c r="L24" s="74">
        <v>233</v>
      </c>
      <c r="M24" s="75"/>
      <c r="N24" s="76"/>
      <c r="O24" s="74">
        <f t="shared" si="0"/>
        <v>462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145</v>
      </c>
      <c r="AB24" s="75"/>
      <c r="AC24" s="75"/>
      <c r="AD24" s="76"/>
      <c r="AE24" s="74">
        <v>130</v>
      </c>
      <c r="AF24" s="75"/>
      <c r="AG24" s="75"/>
      <c r="AH24" s="76"/>
      <c r="AI24" s="74">
        <v>134</v>
      </c>
      <c r="AJ24" s="75"/>
      <c r="AK24" s="75"/>
      <c r="AL24" s="76"/>
      <c r="AM24" s="70">
        <f t="shared" si="1"/>
        <v>264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179</v>
      </c>
      <c r="G25" s="75"/>
      <c r="H25" s="76"/>
      <c r="I25" s="74">
        <v>161</v>
      </c>
      <c r="J25" s="75"/>
      <c r="K25" s="76"/>
      <c r="L25" s="74">
        <v>178</v>
      </c>
      <c r="M25" s="75"/>
      <c r="N25" s="76"/>
      <c r="O25" s="74">
        <f t="shared" si="0"/>
        <v>339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236</v>
      </c>
      <c r="AB25" s="75"/>
      <c r="AC25" s="75"/>
      <c r="AD25" s="76"/>
      <c r="AE25" s="74">
        <v>188</v>
      </c>
      <c r="AF25" s="75"/>
      <c r="AG25" s="75"/>
      <c r="AH25" s="76"/>
      <c r="AI25" s="74">
        <v>193</v>
      </c>
      <c r="AJ25" s="75"/>
      <c r="AK25" s="75"/>
      <c r="AL25" s="76"/>
      <c r="AM25" s="70">
        <f t="shared" si="1"/>
        <v>381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169</v>
      </c>
      <c r="G26" s="75"/>
      <c r="H26" s="76"/>
      <c r="I26" s="74">
        <v>160</v>
      </c>
      <c r="J26" s="75"/>
      <c r="K26" s="76"/>
      <c r="L26" s="74">
        <v>181</v>
      </c>
      <c r="M26" s="75"/>
      <c r="N26" s="76"/>
      <c r="O26" s="74">
        <f t="shared" si="0"/>
        <v>341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153</v>
      </c>
      <c r="AB26" s="75"/>
      <c r="AC26" s="75"/>
      <c r="AD26" s="76"/>
      <c r="AE26" s="74">
        <v>132</v>
      </c>
      <c r="AF26" s="75"/>
      <c r="AG26" s="75"/>
      <c r="AH26" s="76"/>
      <c r="AI26" s="74">
        <v>149</v>
      </c>
      <c r="AJ26" s="75"/>
      <c r="AK26" s="75"/>
      <c r="AL26" s="76"/>
      <c r="AM26" s="70">
        <f t="shared" si="1"/>
        <v>281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146</v>
      </c>
      <c r="G27" s="75"/>
      <c r="H27" s="76"/>
      <c r="I27" s="74">
        <v>129</v>
      </c>
      <c r="J27" s="75"/>
      <c r="K27" s="76"/>
      <c r="L27" s="74">
        <v>152</v>
      </c>
      <c r="M27" s="75"/>
      <c r="N27" s="76"/>
      <c r="O27" s="74">
        <f t="shared" si="0"/>
        <v>281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180</v>
      </c>
      <c r="AB27" s="75"/>
      <c r="AC27" s="75"/>
      <c r="AD27" s="76"/>
      <c r="AE27" s="74">
        <v>154</v>
      </c>
      <c r="AF27" s="75"/>
      <c r="AG27" s="75"/>
      <c r="AH27" s="76"/>
      <c r="AI27" s="74">
        <v>121</v>
      </c>
      <c r="AJ27" s="75"/>
      <c r="AK27" s="75"/>
      <c r="AL27" s="76"/>
      <c r="AM27" s="70">
        <f t="shared" si="1"/>
        <v>275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58</v>
      </c>
      <c r="M28" s="75"/>
      <c r="N28" s="76"/>
      <c r="O28" s="74">
        <f t="shared" si="0"/>
        <v>104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211</v>
      </c>
      <c r="AB28" s="75"/>
      <c r="AC28" s="75"/>
      <c r="AD28" s="76"/>
      <c r="AE28" s="74">
        <v>180</v>
      </c>
      <c r="AF28" s="75"/>
      <c r="AG28" s="75"/>
      <c r="AH28" s="76"/>
      <c r="AI28" s="74">
        <v>208</v>
      </c>
      <c r="AJ28" s="75"/>
      <c r="AK28" s="75"/>
      <c r="AL28" s="76"/>
      <c r="AM28" s="70">
        <f t="shared" si="1"/>
        <v>388</v>
      </c>
      <c r="AN28" s="70"/>
      <c r="AO28" s="70"/>
      <c r="AP28" s="70"/>
      <c r="AR28" s="35"/>
      <c r="AS28" s="35" t="s">
        <v>23</v>
      </c>
      <c r="AT28" s="35" t="s">
        <v>22</v>
      </c>
      <c r="AU28" s="35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70</v>
      </c>
      <c r="J29" s="75"/>
      <c r="K29" s="76"/>
      <c r="L29" s="74">
        <v>87</v>
      </c>
      <c r="M29" s="75"/>
      <c r="N29" s="76"/>
      <c r="O29" s="74">
        <f t="shared" si="0"/>
        <v>157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213</v>
      </c>
      <c r="AB29" s="75"/>
      <c r="AC29" s="75"/>
      <c r="AD29" s="76"/>
      <c r="AE29" s="74">
        <v>213</v>
      </c>
      <c r="AF29" s="75"/>
      <c r="AG29" s="75"/>
      <c r="AH29" s="76"/>
      <c r="AI29" s="74">
        <v>156</v>
      </c>
      <c r="AJ29" s="75"/>
      <c r="AK29" s="75"/>
      <c r="AL29" s="76"/>
      <c r="AM29" s="70">
        <f t="shared" si="1"/>
        <v>369</v>
      </c>
      <c r="AN29" s="70"/>
      <c r="AO29" s="70"/>
      <c r="AP29" s="70"/>
      <c r="AR29" s="35" t="s">
        <v>8</v>
      </c>
      <c r="AS29" s="9">
        <f>AE31</f>
        <v>11759</v>
      </c>
      <c r="AT29" s="9">
        <v>4326</v>
      </c>
      <c r="AU29" s="8">
        <f>IF(OR(AS29=0,AT29=0),"",ROUNDDOWN(AT29/AS29,4))</f>
        <v>0.36780000000000002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1469</v>
      </c>
      <c r="G30" s="75"/>
      <c r="H30" s="76"/>
      <c r="I30" s="74">
        <v>1479</v>
      </c>
      <c r="J30" s="75"/>
      <c r="K30" s="76"/>
      <c r="L30" s="74">
        <v>1629</v>
      </c>
      <c r="M30" s="75"/>
      <c r="N30" s="76"/>
      <c r="O30" s="74">
        <f t="shared" si="0"/>
        <v>3108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40</v>
      </c>
      <c r="AF30" s="75"/>
      <c r="AG30" s="75"/>
      <c r="AH30" s="76"/>
      <c r="AI30" s="74">
        <v>47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35" t="s">
        <v>6</v>
      </c>
      <c r="AS30" s="9">
        <f>AI31</f>
        <v>12859</v>
      </c>
      <c r="AT30" s="9">
        <v>5821</v>
      </c>
      <c r="AU30" s="8">
        <f>IF(OR(AS30=0,AT30=0),"",ROUNDDOWN(AT30/AS30,4))</f>
        <v>0.4526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555</v>
      </c>
      <c r="J31" s="75"/>
      <c r="K31" s="76"/>
      <c r="L31" s="74">
        <v>585</v>
      </c>
      <c r="M31" s="75"/>
      <c r="N31" s="76"/>
      <c r="O31" s="74">
        <f t="shared" si="0"/>
        <v>1140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12241</v>
      </c>
      <c r="AB31" s="75"/>
      <c r="AC31" s="75"/>
      <c r="AD31" s="76"/>
      <c r="AE31" s="74">
        <f>SUM(I8:K32,AE8:AH30)</f>
        <v>11759</v>
      </c>
      <c r="AF31" s="75"/>
      <c r="AG31" s="75"/>
      <c r="AH31" s="76"/>
      <c r="AI31" s="74">
        <f>SUM(L8:N32,AI8:AL30)</f>
        <v>12859</v>
      </c>
      <c r="AJ31" s="75"/>
      <c r="AK31" s="75"/>
      <c r="AL31" s="76"/>
      <c r="AM31" s="70">
        <f t="shared" si="1"/>
        <v>24618</v>
      </c>
      <c r="AN31" s="70"/>
      <c r="AO31" s="70"/>
      <c r="AP31" s="70"/>
      <c r="AR31" s="35" t="s">
        <v>15</v>
      </c>
      <c r="AS31" s="9">
        <f>AM31</f>
        <v>24618</v>
      </c>
      <c r="AT31" s="9">
        <f>AT29+AT30</f>
        <v>10147</v>
      </c>
      <c r="AU31" s="8">
        <f>IF(OR(AS31=0,AT31=0),"",ROUNDDOWN(AT31/AS31,4))</f>
        <v>0.41210000000000002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446</v>
      </c>
      <c r="G32" s="68"/>
      <c r="H32" s="69"/>
      <c r="I32" s="67">
        <v>416</v>
      </c>
      <c r="J32" s="68"/>
      <c r="K32" s="69"/>
      <c r="L32" s="67">
        <v>456</v>
      </c>
      <c r="M32" s="68"/>
      <c r="N32" s="69"/>
      <c r="O32" s="67">
        <f t="shared" si="0"/>
        <v>872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33" t="s">
        <v>12</v>
      </c>
      <c r="E34" s="60">
        <f>AM31-24676</f>
        <v>-58</v>
      </c>
      <c r="F34" s="60"/>
      <c r="G34" s="1" t="s">
        <v>0</v>
      </c>
      <c r="L34" s="1" t="s">
        <v>11</v>
      </c>
      <c r="O34" s="61">
        <f>AM31-25163</f>
        <v>-545</v>
      </c>
      <c r="P34" s="61"/>
      <c r="Q34" s="61"/>
      <c r="R34" s="61"/>
      <c r="S34" s="1" t="s">
        <v>0</v>
      </c>
      <c r="AG34" s="33" t="s">
        <v>13</v>
      </c>
      <c r="AH34" s="62">
        <f>AT31</f>
        <v>10147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33" t="s">
        <v>12</v>
      </c>
      <c r="E36" s="61">
        <f>AA31-12250</f>
        <v>-9</v>
      </c>
      <c r="F36" s="61"/>
      <c r="G36" s="1" t="s">
        <v>10</v>
      </c>
      <c r="L36" s="1" t="s">
        <v>11</v>
      </c>
      <c r="O36" s="61">
        <f>AA31-12318</f>
        <v>-77</v>
      </c>
      <c r="P36" s="61"/>
      <c r="Q36" s="61"/>
      <c r="R36" s="61"/>
      <c r="S36" s="1" t="s">
        <v>10</v>
      </c>
      <c r="Y36" s="1" t="s">
        <v>9</v>
      </c>
      <c r="AG36" s="33" t="s">
        <v>8</v>
      </c>
      <c r="AH36" s="62">
        <f>AT29</f>
        <v>4326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33"/>
    </row>
    <row r="38" spans="3:39" ht="18.75" customHeight="1" x14ac:dyDescent="0.4">
      <c r="C38" s="34" t="s">
        <v>7</v>
      </c>
      <c r="AG38" s="33" t="s">
        <v>6</v>
      </c>
      <c r="AH38" s="62">
        <f>AT30</f>
        <v>5821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33"/>
    </row>
    <row r="40" spans="3:39" ht="18.75" customHeight="1" x14ac:dyDescent="0.4">
      <c r="C40" s="4" t="s">
        <v>5</v>
      </c>
      <c r="AG40" s="33" t="s">
        <v>4</v>
      </c>
      <c r="AH40" s="63">
        <f>IF(OR(AH34=0,AM31=0),"",ROUNDDOWN(AH34/AM31*100,2))</f>
        <v>41.21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94">
        <v>5</v>
      </c>
      <c r="H42" s="94"/>
      <c r="I42" s="1" t="s">
        <v>0</v>
      </c>
      <c r="L42" s="1" t="s">
        <v>1</v>
      </c>
      <c r="T42" s="94">
        <v>35</v>
      </c>
      <c r="U42" s="94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81" bottom="0.98425196850393681" header="0.51181102362204722" footer="0.51181102362204722"/>
  <pageSetup paperSize="9" scale="92" orientation="portrait" r:id="rId1"/>
  <headerFooter alignWithMargins="0"/>
  <colBreaks count="1" manualBreakCount="1">
    <brk id="42" max="4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27" zoomScaleNormal="100" zoomScaleSheetLayoutView="100" workbookViewId="0">
      <selection activeCell="AT40" sqref="AT40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0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37"/>
      <c r="H3" s="37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40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40"/>
      <c r="H4" s="11"/>
      <c r="I4" s="62" t="s">
        <v>10</v>
      </c>
      <c r="J4" s="62"/>
      <c r="K4" s="62"/>
      <c r="L4" s="62">
        <v>11204</v>
      </c>
      <c r="M4" s="62"/>
      <c r="N4" s="62"/>
      <c r="O4" s="38"/>
      <c r="P4" s="38"/>
      <c r="Q4" s="86" t="s">
        <v>71</v>
      </c>
      <c r="R4" s="86"/>
      <c r="S4" s="86"/>
      <c r="T4" s="93">
        <v>118.23</v>
      </c>
      <c r="U4" s="93"/>
      <c r="V4" s="93"/>
      <c r="W4" s="93"/>
      <c r="X4" s="38" t="s">
        <v>70</v>
      </c>
      <c r="Y4" s="38"/>
      <c r="Z4" s="38"/>
      <c r="AF4" s="6"/>
      <c r="AH4" s="40"/>
      <c r="AK4" s="37"/>
      <c r="AL4" s="40"/>
      <c r="AM4" s="38"/>
      <c r="AP4" s="37"/>
    </row>
    <row r="5" spans="2:44" ht="18.75" customHeight="1" x14ac:dyDescent="0.4">
      <c r="Z5" s="40"/>
      <c r="AA5" s="40"/>
      <c r="AB5" s="40"/>
      <c r="AC5" s="40"/>
      <c r="AD5" s="77" t="s">
        <v>79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1790</v>
      </c>
      <c r="G8" s="80"/>
      <c r="H8" s="81"/>
      <c r="I8" s="79">
        <v>1803</v>
      </c>
      <c r="J8" s="80"/>
      <c r="K8" s="81"/>
      <c r="L8" s="79">
        <v>1965</v>
      </c>
      <c r="M8" s="80"/>
      <c r="N8" s="81"/>
      <c r="O8" s="79">
        <f t="shared" ref="O8:O32" si="0">I8+L8</f>
        <v>3768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471</v>
      </c>
      <c r="AB8" s="80"/>
      <c r="AC8" s="80"/>
      <c r="AD8" s="81"/>
      <c r="AE8" s="79">
        <v>496</v>
      </c>
      <c r="AF8" s="80"/>
      <c r="AG8" s="80"/>
      <c r="AH8" s="81"/>
      <c r="AI8" s="79">
        <v>528</v>
      </c>
      <c r="AJ8" s="80"/>
      <c r="AK8" s="80"/>
      <c r="AL8" s="81"/>
      <c r="AM8" s="85">
        <f t="shared" ref="AM8:AM31" si="1">AE8+AI8</f>
        <v>1024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94</v>
      </c>
      <c r="G9" s="75"/>
      <c r="H9" s="76"/>
      <c r="I9" s="74">
        <v>88</v>
      </c>
      <c r="J9" s="75"/>
      <c r="K9" s="76"/>
      <c r="L9" s="74">
        <v>73</v>
      </c>
      <c r="M9" s="75"/>
      <c r="N9" s="76"/>
      <c r="O9" s="74">
        <f t="shared" si="0"/>
        <v>161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57</v>
      </c>
      <c r="AF9" s="75"/>
      <c r="AG9" s="75"/>
      <c r="AH9" s="76"/>
      <c r="AI9" s="74">
        <v>64</v>
      </c>
      <c r="AJ9" s="75"/>
      <c r="AK9" s="75"/>
      <c r="AL9" s="76"/>
      <c r="AM9" s="70">
        <f t="shared" si="1"/>
        <v>121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215</v>
      </c>
      <c r="G10" s="75"/>
      <c r="H10" s="76"/>
      <c r="I10" s="74">
        <v>180</v>
      </c>
      <c r="J10" s="75"/>
      <c r="K10" s="76"/>
      <c r="L10" s="74">
        <v>207</v>
      </c>
      <c r="M10" s="75"/>
      <c r="N10" s="76"/>
      <c r="O10" s="74">
        <f t="shared" si="0"/>
        <v>387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277</v>
      </c>
      <c r="AB10" s="75"/>
      <c r="AC10" s="75"/>
      <c r="AD10" s="76"/>
      <c r="AE10" s="74">
        <v>256</v>
      </c>
      <c r="AF10" s="75"/>
      <c r="AG10" s="75"/>
      <c r="AH10" s="76"/>
      <c r="AI10" s="74">
        <v>296</v>
      </c>
      <c r="AJ10" s="75"/>
      <c r="AK10" s="75"/>
      <c r="AL10" s="76"/>
      <c r="AM10" s="70">
        <f t="shared" si="1"/>
        <v>552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118</v>
      </c>
      <c r="G11" s="75"/>
      <c r="H11" s="76"/>
      <c r="I11" s="74">
        <v>103</v>
      </c>
      <c r="J11" s="75"/>
      <c r="K11" s="76"/>
      <c r="L11" s="74">
        <v>122</v>
      </c>
      <c r="M11" s="75"/>
      <c r="N11" s="76"/>
      <c r="O11" s="74">
        <f t="shared" si="0"/>
        <v>225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427</v>
      </c>
      <c r="AB11" s="75"/>
      <c r="AC11" s="75"/>
      <c r="AD11" s="76"/>
      <c r="AE11" s="74">
        <v>465</v>
      </c>
      <c r="AF11" s="75"/>
      <c r="AG11" s="75"/>
      <c r="AH11" s="76"/>
      <c r="AI11" s="74">
        <v>501</v>
      </c>
      <c r="AJ11" s="75"/>
      <c r="AK11" s="75"/>
      <c r="AL11" s="76"/>
      <c r="AM11" s="70">
        <f t="shared" si="1"/>
        <v>966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148</v>
      </c>
      <c r="G12" s="75"/>
      <c r="H12" s="76"/>
      <c r="I12" s="74">
        <v>152</v>
      </c>
      <c r="J12" s="75"/>
      <c r="K12" s="76"/>
      <c r="L12" s="74">
        <v>158</v>
      </c>
      <c r="M12" s="75"/>
      <c r="N12" s="76"/>
      <c r="O12" s="74">
        <f t="shared" si="0"/>
        <v>310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171</v>
      </c>
      <c r="AB12" s="75"/>
      <c r="AC12" s="75"/>
      <c r="AD12" s="76"/>
      <c r="AE12" s="74">
        <v>161</v>
      </c>
      <c r="AF12" s="75"/>
      <c r="AG12" s="75"/>
      <c r="AH12" s="76"/>
      <c r="AI12" s="74">
        <v>183</v>
      </c>
      <c r="AJ12" s="75"/>
      <c r="AK12" s="75"/>
      <c r="AL12" s="76"/>
      <c r="AM12" s="70">
        <f t="shared" si="1"/>
        <v>344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106</v>
      </c>
      <c r="G13" s="75"/>
      <c r="H13" s="76"/>
      <c r="I13" s="74">
        <v>94</v>
      </c>
      <c r="J13" s="75"/>
      <c r="K13" s="76"/>
      <c r="L13" s="74">
        <v>94</v>
      </c>
      <c r="M13" s="75"/>
      <c r="N13" s="76"/>
      <c r="O13" s="74">
        <f t="shared" si="0"/>
        <v>188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132</v>
      </c>
      <c r="AB13" s="75"/>
      <c r="AC13" s="75"/>
      <c r="AD13" s="76"/>
      <c r="AE13" s="74">
        <v>128</v>
      </c>
      <c r="AF13" s="75"/>
      <c r="AG13" s="75"/>
      <c r="AH13" s="76"/>
      <c r="AI13" s="74">
        <v>132</v>
      </c>
      <c r="AJ13" s="75"/>
      <c r="AK13" s="75"/>
      <c r="AL13" s="76"/>
      <c r="AM13" s="70">
        <f t="shared" si="1"/>
        <v>260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1346</v>
      </c>
      <c r="AB14" s="75"/>
      <c r="AC14" s="75"/>
      <c r="AD14" s="76"/>
      <c r="AE14" s="74">
        <v>1267</v>
      </c>
      <c r="AF14" s="75"/>
      <c r="AG14" s="75"/>
      <c r="AH14" s="76"/>
      <c r="AI14" s="74">
        <v>1413</v>
      </c>
      <c r="AJ14" s="75"/>
      <c r="AK14" s="75"/>
      <c r="AL14" s="76"/>
      <c r="AM14" s="70">
        <f t="shared" si="1"/>
        <v>2680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241</v>
      </c>
      <c r="G15" s="75"/>
      <c r="H15" s="76"/>
      <c r="I15" s="74">
        <v>244</v>
      </c>
      <c r="J15" s="75"/>
      <c r="K15" s="76"/>
      <c r="L15" s="74">
        <v>275</v>
      </c>
      <c r="M15" s="75"/>
      <c r="N15" s="76"/>
      <c r="O15" s="74">
        <f t="shared" si="0"/>
        <v>519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8</v>
      </c>
      <c r="AB15" s="75"/>
      <c r="AC15" s="75"/>
      <c r="AD15" s="76"/>
      <c r="AE15" s="74">
        <v>7</v>
      </c>
      <c r="AF15" s="75"/>
      <c r="AG15" s="75"/>
      <c r="AH15" s="76"/>
      <c r="AI15" s="74">
        <v>7</v>
      </c>
      <c r="AJ15" s="75"/>
      <c r="AK15" s="75"/>
      <c r="AL15" s="76"/>
      <c r="AM15" s="70">
        <f t="shared" si="1"/>
        <v>14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239</v>
      </c>
      <c r="G16" s="75"/>
      <c r="H16" s="76"/>
      <c r="I16" s="74">
        <v>214</v>
      </c>
      <c r="J16" s="75"/>
      <c r="K16" s="76"/>
      <c r="L16" s="74">
        <v>252</v>
      </c>
      <c r="M16" s="75"/>
      <c r="N16" s="76"/>
      <c r="O16" s="74">
        <f t="shared" si="0"/>
        <v>466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41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92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123</v>
      </c>
      <c r="G17" s="75"/>
      <c r="H17" s="76"/>
      <c r="I17" s="74">
        <v>162</v>
      </c>
      <c r="J17" s="75"/>
      <c r="K17" s="76"/>
      <c r="L17" s="74">
        <v>184</v>
      </c>
      <c r="M17" s="75"/>
      <c r="N17" s="76"/>
      <c r="O17" s="74">
        <f t="shared" si="0"/>
        <v>346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244</v>
      </c>
      <c r="AB17" s="75"/>
      <c r="AC17" s="75"/>
      <c r="AD17" s="76"/>
      <c r="AE17" s="74">
        <v>226</v>
      </c>
      <c r="AF17" s="75"/>
      <c r="AG17" s="75"/>
      <c r="AH17" s="76"/>
      <c r="AI17" s="74">
        <v>253</v>
      </c>
      <c r="AJ17" s="75"/>
      <c r="AK17" s="75"/>
      <c r="AL17" s="76"/>
      <c r="AM17" s="70">
        <f t="shared" si="1"/>
        <v>479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146</v>
      </c>
      <c r="G18" s="75"/>
      <c r="H18" s="76"/>
      <c r="I18" s="74">
        <v>157</v>
      </c>
      <c r="J18" s="75"/>
      <c r="K18" s="76"/>
      <c r="L18" s="74">
        <v>179</v>
      </c>
      <c r="M18" s="75"/>
      <c r="N18" s="76"/>
      <c r="O18" s="74">
        <f t="shared" si="0"/>
        <v>336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235</v>
      </c>
      <c r="AB18" s="75"/>
      <c r="AC18" s="75"/>
      <c r="AD18" s="76"/>
      <c r="AE18" s="74">
        <v>198</v>
      </c>
      <c r="AF18" s="75"/>
      <c r="AG18" s="75"/>
      <c r="AH18" s="76"/>
      <c r="AI18" s="74">
        <v>206</v>
      </c>
      <c r="AJ18" s="75"/>
      <c r="AK18" s="75"/>
      <c r="AL18" s="76"/>
      <c r="AM18" s="70">
        <f t="shared" si="1"/>
        <v>404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154</v>
      </c>
      <c r="G19" s="75"/>
      <c r="H19" s="76"/>
      <c r="I19" s="74">
        <v>139</v>
      </c>
      <c r="J19" s="75"/>
      <c r="K19" s="76"/>
      <c r="L19" s="74">
        <v>154</v>
      </c>
      <c r="M19" s="75"/>
      <c r="N19" s="76"/>
      <c r="O19" s="74">
        <f t="shared" si="0"/>
        <v>293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71</v>
      </c>
      <c r="AB19" s="75"/>
      <c r="AC19" s="75"/>
      <c r="AD19" s="76"/>
      <c r="AE19" s="74">
        <v>52</v>
      </c>
      <c r="AF19" s="75"/>
      <c r="AG19" s="75"/>
      <c r="AH19" s="76"/>
      <c r="AI19" s="74">
        <v>63</v>
      </c>
      <c r="AJ19" s="75"/>
      <c r="AK19" s="75"/>
      <c r="AL19" s="76"/>
      <c r="AM19" s="70">
        <f t="shared" si="1"/>
        <v>115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77</v>
      </c>
      <c r="G20" s="75"/>
      <c r="H20" s="76"/>
      <c r="I20" s="74">
        <v>67</v>
      </c>
      <c r="J20" s="75"/>
      <c r="K20" s="76"/>
      <c r="L20" s="74">
        <v>62</v>
      </c>
      <c r="M20" s="75"/>
      <c r="N20" s="76"/>
      <c r="O20" s="74">
        <f t="shared" si="0"/>
        <v>129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97</v>
      </c>
      <c r="AF20" s="75"/>
      <c r="AG20" s="75"/>
      <c r="AH20" s="76"/>
      <c r="AI20" s="74">
        <v>129</v>
      </c>
      <c r="AJ20" s="75"/>
      <c r="AK20" s="75"/>
      <c r="AL20" s="76"/>
      <c r="AM20" s="70">
        <f t="shared" si="1"/>
        <v>226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81</v>
      </c>
      <c r="G21" s="75"/>
      <c r="H21" s="76"/>
      <c r="I21" s="74">
        <v>46</v>
      </c>
      <c r="J21" s="75"/>
      <c r="K21" s="76"/>
      <c r="L21" s="74">
        <v>72</v>
      </c>
      <c r="M21" s="75"/>
      <c r="N21" s="76"/>
      <c r="O21" s="74">
        <f t="shared" si="0"/>
        <v>118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100</v>
      </c>
      <c r="AF21" s="75"/>
      <c r="AG21" s="75"/>
      <c r="AH21" s="76"/>
      <c r="AI21" s="74">
        <v>118</v>
      </c>
      <c r="AJ21" s="75"/>
      <c r="AK21" s="75"/>
      <c r="AL21" s="76"/>
      <c r="AM21" s="70">
        <f t="shared" si="1"/>
        <v>218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38</v>
      </c>
      <c r="G22" s="75"/>
      <c r="H22" s="76"/>
      <c r="I22" s="74">
        <v>33</v>
      </c>
      <c r="J22" s="75"/>
      <c r="K22" s="76"/>
      <c r="L22" s="74">
        <v>34</v>
      </c>
      <c r="M22" s="75"/>
      <c r="N22" s="76"/>
      <c r="O22" s="74">
        <f t="shared" si="0"/>
        <v>67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247</v>
      </c>
      <c r="AB22" s="75"/>
      <c r="AC22" s="75"/>
      <c r="AD22" s="76"/>
      <c r="AE22" s="74">
        <v>248</v>
      </c>
      <c r="AF22" s="75"/>
      <c r="AG22" s="75"/>
      <c r="AH22" s="76"/>
      <c r="AI22" s="74">
        <v>293</v>
      </c>
      <c r="AJ22" s="75"/>
      <c r="AK22" s="75"/>
      <c r="AL22" s="76"/>
      <c r="AM22" s="70">
        <f t="shared" si="1"/>
        <v>541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182</v>
      </c>
      <c r="G23" s="75"/>
      <c r="H23" s="76"/>
      <c r="I23" s="74">
        <v>162</v>
      </c>
      <c r="J23" s="75"/>
      <c r="K23" s="76"/>
      <c r="L23" s="74">
        <v>183</v>
      </c>
      <c r="M23" s="75"/>
      <c r="N23" s="76"/>
      <c r="O23" s="74">
        <f t="shared" si="0"/>
        <v>345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17</v>
      </c>
      <c r="AB23" s="75"/>
      <c r="AC23" s="75"/>
      <c r="AD23" s="76"/>
      <c r="AE23" s="74">
        <v>10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28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224</v>
      </c>
      <c r="G24" s="75"/>
      <c r="H24" s="76"/>
      <c r="I24" s="74">
        <v>234</v>
      </c>
      <c r="J24" s="75"/>
      <c r="K24" s="76"/>
      <c r="L24" s="74">
        <v>235</v>
      </c>
      <c r="M24" s="75"/>
      <c r="N24" s="76"/>
      <c r="O24" s="74">
        <f t="shared" si="0"/>
        <v>469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143</v>
      </c>
      <c r="AB24" s="75"/>
      <c r="AC24" s="75"/>
      <c r="AD24" s="76"/>
      <c r="AE24" s="74">
        <v>126</v>
      </c>
      <c r="AF24" s="75"/>
      <c r="AG24" s="75"/>
      <c r="AH24" s="76"/>
      <c r="AI24" s="74">
        <v>133</v>
      </c>
      <c r="AJ24" s="75"/>
      <c r="AK24" s="75"/>
      <c r="AL24" s="76"/>
      <c r="AM24" s="70">
        <f t="shared" si="1"/>
        <v>259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161</v>
      </c>
      <c r="J25" s="75"/>
      <c r="K25" s="76"/>
      <c r="L25" s="74">
        <v>178</v>
      </c>
      <c r="M25" s="75"/>
      <c r="N25" s="76"/>
      <c r="O25" s="74">
        <f t="shared" si="0"/>
        <v>339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236</v>
      </c>
      <c r="AB25" s="75"/>
      <c r="AC25" s="75"/>
      <c r="AD25" s="76"/>
      <c r="AE25" s="74">
        <v>188</v>
      </c>
      <c r="AF25" s="75"/>
      <c r="AG25" s="75"/>
      <c r="AH25" s="76"/>
      <c r="AI25" s="74">
        <v>195</v>
      </c>
      <c r="AJ25" s="75"/>
      <c r="AK25" s="75"/>
      <c r="AL25" s="76"/>
      <c r="AM25" s="70">
        <f t="shared" si="1"/>
        <v>383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169</v>
      </c>
      <c r="G26" s="75"/>
      <c r="H26" s="76"/>
      <c r="I26" s="74">
        <v>160</v>
      </c>
      <c r="J26" s="75"/>
      <c r="K26" s="76"/>
      <c r="L26" s="74">
        <v>180</v>
      </c>
      <c r="M26" s="75"/>
      <c r="N26" s="76"/>
      <c r="O26" s="74">
        <f t="shared" si="0"/>
        <v>340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154</v>
      </c>
      <c r="AB26" s="75"/>
      <c r="AC26" s="75"/>
      <c r="AD26" s="76"/>
      <c r="AE26" s="74">
        <v>133</v>
      </c>
      <c r="AF26" s="75"/>
      <c r="AG26" s="75"/>
      <c r="AH26" s="76"/>
      <c r="AI26" s="74">
        <v>150</v>
      </c>
      <c r="AJ26" s="75"/>
      <c r="AK26" s="75"/>
      <c r="AL26" s="76"/>
      <c r="AM26" s="70">
        <f t="shared" si="1"/>
        <v>283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144</v>
      </c>
      <c r="G27" s="75"/>
      <c r="H27" s="76"/>
      <c r="I27" s="74">
        <v>125</v>
      </c>
      <c r="J27" s="75"/>
      <c r="K27" s="76"/>
      <c r="L27" s="74">
        <v>150</v>
      </c>
      <c r="M27" s="75"/>
      <c r="N27" s="76"/>
      <c r="O27" s="74">
        <f t="shared" si="0"/>
        <v>275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175</v>
      </c>
      <c r="AB27" s="75"/>
      <c r="AC27" s="75"/>
      <c r="AD27" s="76"/>
      <c r="AE27" s="74">
        <v>151</v>
      </c>
      <c r="AF27" s="75"/>
      <c r="AG27" s="75"/>
      <c r="AH27" s="76"/>
      <c r="AI27" s="74">
        <v>119</v>
      </c>
      <c r="AJ27" s="75"/>
      <c r="AK27" s="75"/>
      <c r="AL27" s="76"/>
      <c r="AM27" s="70">
        <f t="shared" si="1"/>
        <v>270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57</v>
      </c>
      <c r="M28" s="75"/>
      <c r="N28" s="76"/>
      <c r="O28" s="74">
        <f t="shared" si="0"/>
        <v>103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208</v>
      </c>
      <c r="AB28" s="75"/>
      <c r="AC28" s="75"/>
      <c r="AD28" s="76"/>
      <c r="AE28" s="74">
        <v>180</v>
      </c>
      <c r="AF28" s="75"/>
      <c r="AG28" s="75"/>
      <c r="AH28" s="76"/>
      <c r="AI28" s="74">
        <v>206</v>
      </c>
      <c r="AJ28" s="75"/>
      <c r="AK28" s="75"/>
      <c r="AL28" s="76"/>
      <c r="AM28" s="70">
        <f t="shared" si="1"/>
        <v>386</v>
      </c>
      <c r="AN28" s="70"/>
      <c r="AO28" s="70"/>
      <c r="AP28" s="70"/>
      <c r="AR28" s="39"/>
      <c r="AS28" s="39" t="s">
        <v>23</v>
      </c>
      <c r="AT28" s="39" t="s">
        <v>22</v>
      </c>
      <c r="AU28" s="39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84</v>
      </c>
      <c r="G29" s="75"/>
      <c r="H29" s="76"/>
      <c r="I29" s="74">
        <v>70</v>
      </c>
      <c r="J29" s="75"/>
      <c r="K29" s="76"/>
      <c r="L29" s="74">
        <v>87</v>
      </c>
      <c r="M29" s="75"/>
      <c r="N29" s="76"/>
      <c r="O29" s="74">
        <f t="shared" si="0"/>
        <v>157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212</v>
      </c>
      <c r="AB29" s="75"/>
      <c r="AC29" s="75"/>
      <c r="AD29" s="76"/>
      <c r="AE29" s="74">
        <v>213</v>
      </c>
      <c r="AF29" s="75"/>
      <c r="AG29" s="75"/>
      <c r="AH29" s="76"/>
      <c r="AI29" s="74">
        <v>155</v>
      </c>
      <c r="AJ29" s="75"/>
      <c r="AK29" s="75"/>
      <c r="AL29" s="76"/>
      <c r="AM29" s="70">
        <f t="shared" si="1"/>
        <v>368</v>
      </c>
      <c r="AN29" s="70"/>
      <c r="AO29" s="70"/>
      <c r="AP29" s="70"/>
      <c r="AR29" s="39" t="s">
        <v>8</v>
      </c>
      <c r="AS29" s="9">
        <f>AE31</f>
        <v>11732</v>
      </c>
      <c r="AT29" s="9">
        <v>4329</v>
      </c>
      <c r="AU29" s="8">
        <f>IF(OR(AS29=0,AT29=0),"",ROUNDDOWN(AT29/AS29,4))</f>
        <v>0.36890000000000001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1471</v>
      </c>
      <c r="G30" s="75"/>
      <c r="H30" s="76"/>
      <c r="I30" s="74">
        <v>1478</v>
      </c>
      <c r="J30" s="75"/>
      <c r="K30" s="76"/>
      <c r="L30" s="74">
        <v>1634</v>
      </c>
      <c r="M30" s="75"/>
      <c r="N30" s="76"/>
      <c r="O30" s="74">
        <f t="shared" si="0"/>
        <v>3112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40</v>
      </c>
      <c r="AF30" s="75"/>
      <c r="AG30" s="75"/>
      <c r="AH30" s="76"/>
      <c r="AI30" s="74">
        <v>47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39" t="s">
        <v>6</v>
      </c>
      <c r="AS30" s="9">
        <f>AI31</f>
        <v>12834</v>
      </c>
      <c r="AT30" s="9">
        <v>5816</v>
      </c>
      <c r="AU30" s="8">
        <f>IF(OR(AS30=0,AT30=0),"",ROUNDDOWN(AT30/AS30,4))</f>
        <v>0.4531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537</v>
      </c>
      <c r="G31" s="75"/>
      <c r="H31" s="76"/>
      <c r="I31" s="74">
        <v>555</v>
      </c>
      <c r="J31" s="75"/>
      <c r="K31" s="76"/>
      <c r="L31" s="74">
        <v>583</v>
      </c>
      <c r="M31" s="75"/>
      <c r="N31" s="76"/>
      <c r="O31" s="74">
        <f t="shared" si="0"/>
        <v>1138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12218</v>
      </c>
      <c r="AB31" s="75"/>
      <c r="AC31" s="75"/>
      <c r="AD31" s="76"/>
      <c r="AE31" s="74">
        <f>SUM(I8:K32,AE8:AH30)</f>
        <v>11732</v>
      </c>
      <c r="AF31" s="75"/>
      <c r="AG31" s="75"/>
      <c r="AH31" s="76"/>
      <c r="AI31" s="74">
        <f>SUM(L8:N32,AI8:AL30)</f>
        <v>12834</v>
      </c>
      <c r="AJ31" s="75"/>
      <c r="AK31" s="75"/>
      <c r="AL31" s="76"/>
      <c r="AM31" s="70">
        <f t="shared" si="1"/>
        <v>24566</v>
      </c>
      <c r="AN31" s="70"/>
      <c r="AO31" s="70"/>
      <c r="AP31" s="70"/>
      <c r="AR31" s="39" t="s">
        <v>15</v>
      </c>
      <c r="AS31" s="9">
        <f>AM31</f>
        <v>24566</v>
      </c>
      <c r="AT31" s="9">
        <f>AT29+AT30</f>
        <v>10145</v>
      </c>
      <c r="AU31" s="8">
        <f>IF(OR(AS31=0,AT31=0),"",ROUNDDOWN(AT31/AS31,4))</f>
        <v>0.41289999999999999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443</v>
      </c>
      <c r="G32" s="68"/>
      <c r="H32" s="69"/>
      <c r="I32" s="67">
        <v>413</v>
      </c>
      <c r="J32" s="68"/>
      <c r="K32" s="69"/>
      <c r="L32" s="67">
        <v>453</v>
      </c>
      <c r="M32" s="68"/>
      <c r="N32" s="69"/>
      <c r="O32" s="67">
        <f t="shared" si="0"/>
        <v>866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37" t="s">
        <v>12</v>
      </c>
      <c r="E34" s="60">
        <f>AM31-24618</f>
        <v>-52</v>
      </c>
      <c r="F34" s="60"/>
      <c r="G34" s="1" t="s">
        <v>0</v>
      </c>
      <c r="L34" s="1" t="s">
        <v>11</v>
      </c>
      <c r="O34" s="61">
        <f>AM31-25143</f>
        <v>-577</v>
      </c>
      <c r="P34" s="61"/>
      <c r="Q34" s="61"/>
      <c r="R34" s="61"/>
      <c r="S34" s="1" t="s">
        <v>0</v>
      </c>
      <c r="AG34" s="37" t="s">
        <v>13</v>
      </c>
      <c r="AH34" s="62">
        <f>AT31</f>
        <v>10145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37" t="s">
        <v>12</v>
      </c>
      <c r="E36" s="61">
        <f>AA31-12241</f>
        <v>-23</v>
      </c>
      <c r="F36" s="61"/>
      <c r="G36" s="1" t="s">
        <v>10</v>
      </c>
      <c r="L36" s="1" t="s">
        <v>11</v>
      </c>
      <c r="O36" s="61">
        <f>AA31-12321</f>
        <v>-103</v>
      </c>
      <c r="P36" s="61"/>
      <c r="Q36" s="61"/>
      <c r="R36" s="61"/>
      <c r="S36" s="1" t="s">
        <v>10</v>
      </c>
      <c r="Y36" s="1" t="s">
        <v>9</v>
      </c>
      <c r="AG36" s="37" t="s">
        <v>8</v>
      </c>
      <c r="AH36" s="62">
        <f>AT29</f>
        <v>4329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37"/>
    </row>
    <row r="38" spans="3:39" ht="18.75" customHeight="1" x14ac:dyDescent="0.4">
      <c r="C38" s="38" t="s">
        <v>7</v>
      </c>
      <c r="AG38" s="37" t="s">
        <v>6</v>
      </c>
      <c r="AH38" s="62">
        <f>AT30</f>
        <v>5816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37"/>
    </row>
    <row r="40" spans="3:39" ht="18.75" customHeight="1" x14ac:dyDescent="0.4">
      <c r="C40" s="4" t="s">
        <v>5</v>
      </c>
      <c r="AG40" s="37" t="s">
        <v>4</v>
      </c>
      <c r="AH40" s="63">
        <f>IF(OR(AH34=0,AM31=0),"",ROUNDDOWN(AH34/AM31*100,2))</f>
        <v>41.29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7</v>
      </c>
      <c r="H42" s="57"/>
      <c r="I42" s="1" t="s">
        <v>0</v>
      </c>
      <c r="L42" s="1" t="s">
        <v>1</v>
      </c>
      <c r="T42" s="57">
        <v>37</v>
      </c>
      <c r="U42" s="57"/>
      <c r="V42" s="1" t="s">
        <v>0</v>
      </c>
    </row>
  </sheetData>
  <mergeCells count="286"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2" orientation="portrait" r:id="rId1"/>
  <headerFooter alignWithMargins="0"/>
  <rowBreaks count="1" manualBreakCount="1">
    <brk id="38" max="4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9" zoomScaleNormal="100" workbookViewId="0">
      <selection activeCell="AX9" sqref="AX9"/>
    </sheetView>
  </sheetViews>
  <sheetFormatPr defaultRowHeight="13.5" x14ac:dyDescent="0.4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4" customWidth="1"/>
    <col min="45" max="47" width="8.75" style="1" customWidth="1"/>
    <col min="48" max="48" width="9" style="1" customWidth="1"/>
    <col min="49" max="16384" width="9" style="1"/>
  </cols>
  <sheetData>
    <row r="1" spans="2:44" ht="21" customHeight="1" x14ac:dyDescent="0.4">
      <c r="B1" s="91" t="s">
        <v>74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 x14ac:dyDescent="0.4">
      <c r="AP2" s="12" t="s">
        <v>73</v>
      </c>
    </row>
    <row r="3" spans="2:44" ht="18.75" customHeight="1" x14ac:dyDescent="0.4">
      <c r="B3" s="92" t="s">
        <v>72</v>
      </c>
      <c r="C3" s="92"/>
      <c r="D3" s="92"/>
      <c r="E3" s="92"/>
      <c r="F3" s="92"/>
      <c r="G3" s="41"/>
      <c r="H3" s="41"/>
      <c r="I3" s="62" t="s">
        <v>8</v>
      </c>
      <c r="J3" s="62"/>
      <c r="K3" s="62"/>
      <c r="L3" s="62">
        <v>12563</v>
      </c>
      <c r="M3" s="62"/>
      <c r="N3" s="62"/>
      <c r="O3" s="86" t="s">
        <v>0</v>
      </c>
      <c r="P3" s="86"/>
      <c r="Q3" s="86" t="s">
        <v>6</v>
      </c>
      <c r="R3" s="86"/>
      <c r="S3" s="62">
        <v>13863</v>
      </c>
      <c r="T3" s="62"/>
      <c r="U3" s="62"/>
      <c r="V3" s="62"/>
      <c r="W3" s="86" t="s">
        <v>0</v>
      </c>
      <c r="X3" s="86"/>
      <c r="Y3" s="44" t="s">
        <v>15</v>
      </c>
      <c r="Z3" s="62">
        <v>26426</v>
      </c>
      <c r="AA3" s="62"/>
      <c r="AB3" s="62"/>
      <c r="AC3" s="62"/>
      <c r="AD3" s="86" t="s">
        <v>0</v>
      </c>
      <c r="AE3" s="86"/>
      <c r="AF3" s="6"/>
    </row>
    <row r="4" spans="2:44" ht="18.75" customHeight="1" x14ac:dyDescent="0.4">
      <c r="D4" s="44"/>
      <c r="H4" s="11"/>
      <c r="I4" s="62" t="s">
        <v>10</v>
      </c>
      <c r="J4" s="62"/>
      <c r="K4" s="62"/>
      <c r="L4" s="62">
        <v>11204</v>
      </c>
      <c r="M4" s="62"/>
      <c r="N4" s="62"/>
      <c r="O4" s="42"/>
      <c r="P4" s="42"/>
      <c r="Q4" s="86" t="s">
        <v>71</v>
      </c>
      <c r="R4" s="86"/>
      <c r="S4" s="86"/>
      <c r="T4" s="93">
        <v>118.23</v>
      </c>
      <c r="U4" s="93"/>
      <c r="V4" s="93"/>
      <c r="W4" s="93"/>
      <c r="X4" s="42" t="s">
        <v>70</v>
      </c>
      <c r="Y4" s="42"/>
      <c r="Z4" s="42"/>
      <c r="AF4" s="6"/>
      <c r="AH4" s="44"/>
      <c r="AK4" s="41"/>
      <c r="AL4" s="44"/>
      <c r="AM4" s="42"/>
      <c r="AP4" s="41"/>
    </row>
    <row r="5" spans="2:44" ht="18.75" customHeight="1" x14ac:dyDescent="0.4">
      <c r="Z5" s="44"/>
      <c r="AA5" s="44"/>
      <c r="AB5" s="44"/>
      <c r="AC5" s="44"/>
      <c r="AD5" s="77" t="s">
        <v>80</v>
      </c>
      <c r="AE5" s="77"/>
      <c r="AF5" s="77"/>
      <c r="AG5" s="77"/>
      <c r="AH5" s="77"/>
      <c r="AI5" s="77"/>
      <c r="AJ5" s="77"/>
      <c r="AK5" s="77"/>
      <c r="AL5" s="77"/>
      <c r="AM5" s="77"/>
      <c r="AN5" s="78" t="s">
        <v>68</v>
      </c>
      <c r="AO5" s="78"/>
      <c r="AP5" s="78"/>
    </row>
    <row r="6" spans="2:44" ht="6.75" customHeight="1" x14ac:dyDescent="0.4"/>
    <row r="7" spans="2:44" s="7" customFormat="1" ht="22.5" customHeight="1" x14ac:dyDescent="0.4">
      <c r="B7" s="87" t="s">
        <v>67</v>
      </c>
      <c r="C7" s="88"/>
      <c r="D7" s="88"/>
      <c r="E7" s="89"/>
      <c r="F7" s="87" t="s">
        <v>66</v>
      </c>
      <c r="G7" s="88"/>
      <c r="H7" s="89"/>
      <c r="I7" s="87" t="s">
        <v>8</v>
      </c>
      <c r="J7" s="88"/>
      <c r="K7" s="89"/>
      <c r="L7" s="87" t="s">
        <v>6</v>
      </c>
      <c r="M7" s="88"/>
      <c r="N7" s="89"/>
      <c r="O7" s="87" t="s">
        <v>15</v>
      </c>
      <c r="P7" s="88"/>
      <c r="Q7" s="88"/>
      <c r="R7" s="89"/>
      <c r="S7" s="87" t="s">
        <v>67</v>
      </c>
      <c r="T7" s="88"/>
      <c r="U7" s="88"/>
      <c r="V7" s="88"/>
      <c r="W7" s="88"/>
      <c r="X7" s="88"/>
      <c r="Y7" s="88"/>
      <c r="Z7" s="89"/>
      <c r="AA7" s="87" t="s">
        <v>66</v>
      </c>
      <c r="AB7" s="88"/>
      <c r="AC7" s="88"/>
      <c r="AD7" s="89"/>
      <c r="AE7" s="87" t="s">
        <v>8</v>
      </c>
      <c r="AF7" s="88"/>
      <c r="AG7" s="88"/>
      <c r="AH7" s="89"/>
      <c r="AI7" s="87" t="s">
        <v>6</v>
      </c>
      <c r="AJ7" s="88"/>
      <c r="AK7" s="88"/>
      <c r="AL7" s="89"/>
      <c r="AM7" s="90" t="s">
        <v>15</v>
      </c>
      <c r="AN7" s="90"/>
      <c r="AO7" s="90"/>
      <c r="AP7" s="90"/>
    </row>
    <row r="8" spans="2:44" s="6" customFormat="1" ht="22.5" customHeight="1" x14ac:dyDescent="0.4">
      <c r="B8" s="71" t="s">
        <v>65</v>
      </c>
      <c r="C8" s="72"/>
      <c r="D8" s="72"/>
      <c r="E8" s="73"/>
      <c r="F8" s="79">
        <v>1790</v>
      </c>
      <c r="G8" s="80"/>
      <c r="H8" s="81"/>
      <c r="I8" s="79">
        <v>1793</v>
      </c>
      <c r="J8" s="80"/>
      <c r="K8" s="81"/>
      <c r="L8" s="79">
        <v>1969</v>
      </c>
      <c r="M8" s="80"/>
      <c r="N8" s="81"/>
      <c r="O8" s="79">
        <f t="shared" ref="O8:O32" si="0">I8+L8</f>
        <v>3762</v>
      </c>
      <c r="P8" s="80"/>
      <c r="Q8" s="80"/>
      <c r="R8" s="81"/>
      <c r="S8" s="82" t="s">
        <v>64</v>
      </c>
      <c r="T8" s="83"/>
      <c r="U8" s="83"/>
      <c r="V8" s="83"/>
      <c r="W8" s="83"/>
      <c r="X8" s="83"/>
      <c r="Y8" s="83"/>
      <c r="Z8" s="84"/>
      <c r="AA8" s="79">
        <v>473</v>
      </c>
      <c r="AB8" s="80"/>
      <c r="AC8" s="80"/>
      <c r="AD8" s="81"/>
      <c r="AE8" s="79">
        <v>498</v>
      </c>
      <c r="AF8" s="80"/>
      <c r="AG8" s="80"/>
      <c r="AH8" s="81"/>
      <c r="AI8" s="79">
        <v>531</v>
      </c>
      <c r="AJ8" s="80"/>
      <c r="AK8" s="80"/>
      <c r="AL8" s="81"/>
      <c r="AM8" s="85">
        <f t="shared" ref="AM8:AM31" si="1">AE8+AI8</f>
        <v>1029</v>
      </c>
      <c r="AN8" s="85"/>
      <c r="AO8" s="85"/>
      <c r="AP8" s="85"/>
      <c r="AR8" s="7"/>
    </row>
    <row r="9" spans="2:44" s="6" customFormat="1" ht="22.5" customHeight="1" x14ac:dyDescent="0.4">
      <c r="B9" s="71" t="s">
        <v>63</v>
      </c>
      <c r="C9" s="72"/>
      <c r="D9" s="72"/>
      <c r="E9" s="73"/>
      <c r="F9" s="74">
        <v>93</v>
      </c>
      <c r="G9" s="75"/>
      <c r="H9" s="76"/>
      <c r="I9" s="74">
        <v>87</v>
      </c>
      <c r="J9" s="75"/>
      <c r="K9" s="76"/>
      <c r="L9" s="74">
        <v>73</v>
      </c>
      <c r="M9" s="75"/>
      <c r="N9" s="76"/>
      <c r="O9" s="74">
        <f t="shared" si="0"/>
        <v>160</v>
      </c>
      <c r="P9" s="75"/>
      <c r="Q9" s="75"/>
      <c r="R9" s="76"/>
      <c r="S9" s="71" t="s">
        <v>62</v>
      </c>
      <c r="T9" s="72"/>
      <c r="U9" s="72"/>
      <c r="V9" s="72"/>
      <c r="W9" s="72"/>
      <c r="X9" s="72"/>
      <c r="Y9" s="72"/>
      <c r="Z9" s="73"/>
      <c r="AA9" s="74">
        <v>61</v>
      </c>
      <c r="AB9" s="75"/>
      <c r="AC9" s="75"/>
      <c r="AD9" s="76"/>
      <c r="AE9" s="74">
        <v>57</v>
      </c>
      <c r="AF9" s="75"/>
      <c r="AG9" s="75"/>
      <c r="AH9" s="76"/>
      <c r="AI9" s="74">
        <v>63</v>
      </c>
      <c r="AJ9" s="75"/>
      <c r="AK9" s="75"/>
      <c r="AL9" s="76"/>
      <c r="AM9" s="70">
        <f t="shared" si="1"/>
        <v>120</v>
      </c>
      <c r="AN9" s="70"/>
      <c r="AO9" s="70"/>
      <c r="AP9" s="70"/>
      <c r="AR9" s="7"/>
    </row>
    <row r="10" spans="2:44" s="6" customFormat="1" ht="22.5" customHeight="1" x14ac:dyDescent="0.4">
      <c r="B10" s="71" t="s">
        <v>61</v>
      </c>
      <c r="C10" s="72"/>
      <c r="D10" s="72"/>
      <c r="E10" s="73"/>
      <c r="F10" s="74">
        <v>214</v>
      </c>
      <c r="G10" s="75"/>
      <c r="H10" s="76"/>
      <c r="I10" s="74">
        <v>180</v>
      </c>
      <c r="J10" s="75"/>
      <c r="K10" s="76"/>
      <c r="L10" s="74">
        <v>206</v>
      </c>
      <c r="M10" s="75"/>
      <c r="N10" s="76"/>
      <c r="O10" s="74">
        <f t="shared" si="0"/>
        <v>386</v>
      </c>
      <c r="P10" s="75"/>
      <c r="Q10" s="75"/>
      <c r="R10" s="76"/>
      <c r="S10" s="71" t="s">
        <v>60</v>
      </c>
      <c r="T10" s="72"/>
      <c r="U10" s="72"/>
      <c r="V10" s="72"/>
      <c r="W10" s="72"/>
      <c r="X10" s="72"/>
      <c r="Y10" s="72"/>
      <c r="Z10" s="73"/>
      <c r="AA10" s="74">
        <v>277</v>
      </c>
      <c r="AB10" s="75"/>
      <c r="AC10" s="75"/>
      <c r="AD10" s="76"/>
      <c r="AE10" s="74">
        <v>256</v>
      </c>
      <c r="AF10" s="75"/>
      <c r="AG10" s="75"/>
      <c r="AH10" s="76"/>
      <c r="AI10" s="74">
        <v>297</v>
      </c>
      <c r="AJ10" s="75"/>
      <c r="AK10" s="75"/>
      <c r="AL10" s="76"/>
      <c r="AM10" s="70">
        <f t="shared" si="1"/>
        <v>553</v>
      </c>
      <c r="AN10" s="70"/>
      <c r="AO10" s="70"/>
      <c r="AP10" s="70"/>
      <c r="AR10" s="7"/>
    </row>
    <row r="11" spans="2:44" s="6" customFormat="1" ht="22.5" customHeight="1" x14ac:dyDescent="0.4">
      <c r="B11" s="71" t="s">
        <v>59</v>
      </c>
      <c r="C11" s="72"/>
      <c r="D11" s="72"/>
      <c r="E11" s="73"/>
      <c r="F11" s="74">
        <v>120</v>
      </c>
      <c r="G11" s="75"/>
      <c r="H11" s="76"/>
      <c r="I11" s="74">
        <v>103</v>
      </c>
      <c r="J11" s="75"/>
      <c r="K11" s="76"/>
      <c r="L11" s="74">
        <v>123</v>
      </c>
      <c r="M11" s="75"/>
      <c r="N11" s="76"/>
      <c r="O11" s="74">
        <f t="shared" si="0"/>
        <v>226</v>
      </c>
      <c r="P11" s="75"/>
      <c r="Q11" s="75"/>
      <c r="R11" s="76"/>
      <c r="S11" s="71" t="s">
        <v>58</v>
      </c>
      <c r="T11" s="72"/>
      <c r="U11" s="72"/>
      <c r="V11" s="72"/>
      <c r="W11" s="72"/>
      <c r="X11" s="72"/>
      <c r="Y11" s="72"/>
      <c r="Z11" s="73"/>
      <c r="AA11" s="74">
        <v>427</v>
      </c>
      <c r="AB11" s="75"/>
      <c r="AC11" s="75"/>
      <c r="AD11" s="76"/>
      <c r="AE11" s="74">
        <v>466</v>
      </c>
      <c r="AF11" s="75"/>
      <c r="AG11" s="75"/>
      <c r="AH11" s="76"/>
      <c r="AI11" s="74">
        <v>501</v>
      </c>
      <c r="AJ11" s="75"/>
      <c r="AK11" s="75"/>
      <c r="AL11" s="76"/>
      <c r="AM11" s="70">
        <f t="shared" si="1"/>
        <v>967</v>
      </c>
      <c r="AN11" s="70"/>
      <c r="AO11" s="70"/>
      <c r="AP11" s="70"/>
      <c r="AR11" s="7"/>
    </row>
    <row r="12" spans="2:44" s="6" customFormat="1" ht="22.5" customHeight="1" x14ac:dyDescent="0.4">
      <c r="B12" s="71" t="s">
        <v>57</v>
      </c>
      <c r="C12" s="72"/>
      <c r="D12" s="72"/>
      <c r="E12" s="73"/>
      <c r="F12" s="74">
        <v>148</v>
      </c>
      <c r="G12" s="75"/>
      <c r="H12" s="76"/>
      <c r="I12" s="74">
        <v>154</v>
      </c>
      <c r="J12" s="75"/>
      <c r="K12" s="76"/>
      <c r="L12" s="74">
        <v>159</v>
      </c>
      <c r="M12" s="75"/>
      <c r="N12" s="76"/>
      <c r="O12" s="74">
        <f t="shared" si="0"/>
        <v>313</v>
      </c>
      <c r="P12" s="75"/>
      <c r="Q12" s="75"/>
      <c r="R12" s="76"/>
      <c r="S12" s="71" t="s">
        <v>56</v>
      </c>
      <c r="T12" s="72"/>
      <c r="U12" s="72"/>
      <c r="V12" s="72"/>
      <c r="W12" s="72"/>
      <c r="X12" s="72"/>
      <c r="Y12" s="72"/>
      <c r="Z12" s="73"/>
      <c r="AA12" s="74">
        <v>172</v>
      </c>
      <c r="AB12" s="75"/>
      <c r="AC12" s="75"/>
      <c r="AD12" s="76"/>
      <c r="AE12" s="74">
        <v>160</v>
      </c>
      <c r="AF12" s="75"/>
      <c r="AG12" s="75"/>
      <c r="AH12" s="76"/>
      <c r="AI12" s="74">
        <v>184</v>
      </c>
      <c r="AJ12" s="75"/>
      <c r="AK12" s="75"/>
      <c r="AL12" s="76"/>
      <c r="AM12" s="70">
        <f t="shared" si="1"/>
        <v>344</v>
      </c>
      <c r="AN12" s="70"/>
      <c r="AO12" s="70"/>
      <c r="AP12" s="70"/>
      <c r="AR12" s="7"/>
    </row>
    <row r="13" spans="2:44" s="6" customFormat="1" ht="22.5" customHeight="1" x14ac:dyDescent="0.4">
      <c r="B13" s="71" t="s">
        <v>55</v>
      </c>
      <c r="C13" s="72"/>
      <c r="D13" s="72"/>
      <c r="E13" s="73"/>
      <c r="F13" s="74">
        <v>105</v>
      </c>
      <c r="G13" s="75"/>
      <c r="H13" s="76"/>
      <c r="I13" s="74">
        <v>94</v>
      </c>
      <c r="J13" s="75"/>
      <c r="K13" s="76"/>
      <c r="L13" s="74">
        <v>93</v>
      </c>
      <c r="M13" s="75"/>
      <c r="N13" s="76"/>
      <c r="O13" s="74">
        <f t="shared" si="0"/>
        <v>187</v>
      </c>
      <c r="P13" s="75"/>
      <c r="Q13" s="75"/>
      <c r="R13" s="76"/>
      <c r="S13" s="71" t="s">
        <v>54</v>
      </c>
      <c r="T13" s="72"/>
      <c r="U13" s="72"/>
      <c r="V13" s="72"/>
      <c r="W13" s="72"/>
      <c r="X13" s="72"/>
      <c r="Y13" s="72"/>
      <c r="Z13" s="73"/>
      <c r="AA13" s="74">
        <v>131</v>
      </c>
      <c r="AB13" s="75"/>
      <c r="AC13" s="75"/>
      <c r="AD13" s="76"/>
      <c r="AE13" s="74">
        <v>128</v>
      </c>
      <c r="AF13" s="75"/>
      <c r="AG13" s="75"/>
      <c r="AH13" s="76"/>
      <c r="AI13" s="74">
        <v>131</v>
      </c>
      <c r="AJ13" s="75"/>
      <c r="AK13" s="75"/>
      <c r="AL13" s="76"/>
      <c r="AM13" s="70">
        <f t="shared" si="1"/>
        <v>259</v>
      </c>
      <c r="AN13" s="70"/>
      <c r="AO13" s="70"/>
      <c r="AP13" s="70"/>
      <c r="AR13" s="7"/>
    </row>
    <row r="14" spans="2:44" s="6" customFormat="1" ht="22.5" customHeight="1" x14ac:dyDescent="0.4">
      <c r="B14" s="71" t="s">
        <v>53</v>
      </c>
      <c r="C14" s="72"/>
      <c r="D14" s="72"/>
      <c r="E14" s="73"/>
      <c r="F14" s="74">
        <v>5</v>
      </c>
      <c r="G14" s="75"/>
      <c r="H14" s="76"/>
      <c r="I14" s="74">
        <v>6</v>
      </c>
      <c r="J14" s="75"/>
      <c r="K14" s="76"/>
      <c r="L14" s="74">
        <v>3</v>
      </c>
      <c r="M14" s="75"/>
      <c r="N14" s="76"/>
      <c r="O14" s="74">
        <f t="shared" si="0"/>
        <v>9</v>
      </c>
      <c r="P14" s="75"/>
      <c r="Q14" s="75"/>
      <c r="R14" s="76"/>
      <c r="S14" s="71" t="s">
        <v>52</v>
      </c>
      <c r="T14" s="72"/>
      <c r="U14" s="72"/>
      <c r="V14" s="72"/>
      <c r="W14" s="72"/>
      <c r="X14" s="72"/>
      <c r="Y14" s="72"/>
      <c r="Z14" s="73"/>
      <c r="AA14" s="74">
        <v>1346</v>
      </c>
      <c r="AB14" s="75"/>
      <c r="AC14" s="75"/>
      <c r="AD14" s="76"/>
      <c r="AE14" s="74">
        <v>1267</v>
      </c>
      <c r="AF14" s="75"/>
      <c r="AG14" s="75"/>
      <c r="AH14" s="76"/>
      <c r="AI14" s="74">
        <v>1409</v>
      </c>
      <c r="AJ14" s="75"/>
      <c r="AK14" s="75"/>
      <c r="AL14" s="76"/>
      <c r="AM14" s="70">
        <f t="shared" si="1"/>
        <v>2676</v>
      </c>
      <c r="AN14" s="70"/>
      <c r="AO14" s="70"/>
      <c r="AP14" s="70"/>
      <c r="AR14" s="7"/>
    </row>
    <row r="15" spans="2:44" s="6" customFormat="1" ht="22.5" customHeight="1" x14ac:dyDescent="0.4">
      <c r="B15" s="71" t="s">
        <v>51</v>
      </c>
      <c r="C15" s="72"/>
      <c r="D15" s="72"/>
      <c r="E15" s="73"/>
      <c r="F15" s="74">
        <v>243</v>
      </c>
      <c r="G15" s="75"/>
      <c r="H15" s="76"/>
      <c r="I15" s="74">
        <v>243</v>
      </c>
      <c r="J15" s="75"/>
      <c r="K15" s="76"/>
      <c r="L15" s="74">
        <v>278</v>
      </c>
      <c r="M15" s="75"/>
      <c r="N15" s="76"/>
      <c r="O15" s="74">
        <f t="shared" si="0"/>
        <v>521</v>
      </c>
      <c r="P15" s="75"/>
      <c r="Q15" s="75"/>
      <c r="R15" s="76"/>
      <c r="S15" s="71" t="s">
        <v>50</v>
      </c>
      <c r="T15" s="72"/>
      <c r="U15" s="72"/>
      <c r="V15" s="72"/>
      <c r="W15" s="72"/>
      <c r="X15" s="72"/>
      <c r="Y15" s="72"/>
      <c r="Z15" s="73"/>
      <c r="AA15" s="74">
        <v>10</v>
      </c>
      <c r="AB15" s="75"/>
      <c r="AC15" s="75"/>
      <c r="AD15" s="76"/>
      <c r="AE15" s="74">
        <v>7</v>
      </c>
      <c r="AF15" s="75"/>
      <c r="AG15" s="75"/>
      <c r="AH15" s="76"/>
      <c r="AI15" s="74">
        <v>9</v>
      </c>
      <c r="AJ15" s="75"/>
      <c r="AK15" s="75"/>
      <c r="AL15" s="76"/>
      <c r="AM15" s="70">
        <f t="shared" si="1"/>
        <v>16</v>
      </c>
      <c r="AN15" s="70"/>
      <c r="AO15" s="70"/>
      <c r="AP15" s="70"/>
      <c r="AR15" s="7"/>
    </row>
    <row r="16" spans="2:44" s="6" customFormat="1" ht="22.5" customHeight="1" x14ac:dyDescent="0.4">
      <c r="B16" s="71" t="s">
        <v>49</v>
      </c>
      <c r="C16" s="72"/>
      <c r="D16" s="72"/>
      <c r="E16" s="73"/>
      <c r="F16" s="74">
        <v>238</v>
      </c>
      <c r="G16" s="75"/>
      <c r="H16" s="76"/>
      <c r="I16" s="74">
        <v>214</v>
      </c>
      <c r="J16" s="75"/>
      <c r="K16" s="76"/>
      <c r="L16" s="74">
        <v>251</v>
      </c>
      <c r="M16" s="75"/>
      <c r="N16" s="76"/>
      <c r="O16" s="74">
        <f t="shared" si="0"/>
        <v>465</v>
      </c>
      <c r="P16" s="75"/>
      <c r="Q16" s="75"/>
      <c r="R16" s="76"/>
      <c r="S16" s="71" t="s">
        <v>48</v>
      </c>
      <c r="T16" s="72"/>
      <c r="U16" s="72"/>
      <c r="V16" s="72"/>
      <c r="W16" s="72"/>
      <c r="X16" s="72"/>
      <c r="Y16" s="72"/>
      <c r="Z16" s="73"/>
      <c r="AA16" s="74">
        <v>50</v>
      </c>
      <c r="AB16" s="75"/>
      <c r="AC16" s="75"/>
      <c r="AD16" s="76"/>
      <c r="AE16" s="74">
        <v>41</v>
      </c>
      <c r="AF16" s="75"/>
      <c r="AG16" s="75"/>
      <c r="AH16" s="76"/>
      <c r="AI16" s="74">
        <v>51</v>
      </c>
      <c r="AJ16" s="75"/>
      <c r="AK16" s="75"/>
      <c r="AL16" s="76"/>
      <c r="AM16" s="70">
        <f t="shared" si="1"/>
        <v>92</v>
      </c>
      <c r="AN16" s="70"/>
      <c r="AO16" s="70"/>
      <c r="AP16" s="70"/>
      <c r="AR16" s="7"/>
    </row>
    <row r="17" spans="2:47" s="6" customFormat="1" ht="22.5" customHeight="1" x14ac:dyDescent="0.4">
      <c r="B17" s="71" t="s">
        <v>47</v>
      </c>
      <c r="C17" s="72"/>
      <c r="D17" s="72"/>
      <c r="E17" s="73"/>
      <c r="F17" s="74">
        <v>124</v>
      </c>
      <c r="G17" s="75"/>
      <c r="H17" s="76"/>
      <c r="I17" s="74">
        <v>161</v>
      </c>
      <c r="J17" s="75"/>
      <c r="K17" s="76"/>
      <c r="L17" s="74">
        <v>186</v>
      </c>
      <c r="M17" s="75"/>
      <c r="N17" s="76"/>
      <c r="O17" s="74">
        <f t="shared" si="0"/>
        <v>347</v>
      </c>
      <c r="P17" s="75"/>
      <c r="Q17" s="75"/>
      <c r="R17" s="76"/>
      <c r="S17" s="71" t="s">
        <v>46</v>
      </c>
      <c r="T17" s="72"/>
      <c r="U17" s="72"/>
      <c r="V17" s="72"/>
      <c r="W17" s="72"/>
      <c r="X17" s="72"/>
      <c r="Y17" s="72"/>
      <c r="Z17" s="73"/>
      <c r="AA17" s="74">
        <v>246</v>
      </c>
      <c r="AB17" s="75"/>
      <c r="AC17" s="75"/>
      <c r="AD17" s="76"/>
      <c r="AE17" s="74">
        <v>227</v>
      </c>
      <c r="AF17" s="75"/>
      <c r="AG17" s="75"/>
      <c r="AH17" s="76"/>
      <c r="AI17" s="74">
        <v>254</v>
      </c>
      <c r="AJ17" s="75"/>
      <c r="AK17" s="75"/>
      <c r="AL17" s="76"/>
      <c r="AM17" s="70">
        <f t="shared" si="1"/>
        <v>481</v>
      </c>
      <c r="AN17" s="70"/>
      <c r="AO17" s="70"/>
      <c r="AP17" s="70"/>
      <c r="AR17" s="7"/>
    </row>
    <row r="18" spans="2:47" s="6" customFormat="1" ht="22.5" customHeight="1" x14ac:dyDescent="0.4">
      <c r="B18" s="71" t="s">
        <v>45</v>
      </c>
      <c r="C18" s="72"/>
      <c r="D18" s="72"/>
      <c r="E18" s="73"/>
      <c r="F18" s="74">
        <v>147</v>
      </c>
      <c r="G18" s="75"/>
      <c r="H18" s="76"/>
      <c r="I18" s="74">
        <v>157</v>
      </c>
      <c r="J18" s="75"/>
      <c r="K18" s="76"/>
      <c r="L18" s="74">
        <v>182</v>
      </c>
      <c r="M18" s="75"/>
      <c r="N18" s="76"/>
      <c r="O18" s="74">
        <f t="shared" si="0"/>
        <v>339</v>
      </c>
      <c r="P18" s="75"/>
      <c r="Q18" s="75"/>
      <c r="R18" s="76"/>
      <c r="S18" s="71" t="s">
        <v>44</v>
      </c>
      <c r="T18" s="72"/>
      <c r="U18" s="72"/>
      <c r="V18" s="72"/>
      <c r="W18" s="72"/>
      <c r="X18" s="72"/>
      <c r="Y18" s="72"/>
      <c r="Z18" s="73"/>
      <c r="AA18" s="74">
        <v>236</v>
      </c>
      <c r="AB18" s="75"/>
      <c r="AC18" s="75"/>
      <c r="AD18" s="76"/>
      <c r="AE18" s="74">
        <v>198</v>
      </c>
      <c r="AF18" s="75"/>
      <c r="AG18" s="75"/>
      <c r="AH18" s="76"/>
      <c r="AI18" s="74">
        <v>206</v>
      </c>
      <c r="AJ18" s="75"/>
      <c r="AK18" s="75"/>
      <c r="AL18" s="76"/>
      <c r="AM18" s="70">
        <f t="shared" si="1"/>
        <v>404</v>
      </c>
      <c r="AN18" s="70"/>
      <c r="AO18" s="70"/>
      <c r="AP18" s="70"/>
      <c r="AR18" s="7"/>
    </row>
    <row r="19" spans="2:47" s="6" customFormat="1" ht="22.5" customHeight="1" x14ac:dyDescent="0.4">
      <c r="B19" s="71" t="s">
        <v>43</v>
      </c>
      <c r="C19" s="72"/>
      <c r="D19" s="72"/>
      <c r="E19" s="73"/>
      <c r="F19" s="74">
        <v>152</v>
      </c>
      <c r="G19" s="75"/>
      <c r="H19" s="76"/>
      <c r="I19" s="74">
        <v>137</v>
      </c>
      <c r="J19" s="75"/>
      <c r="K19" s="76"/>
      <c r="L19" s="74">
        <v>150</v>
      </c>
      <c r="M19" s="75"/>
      <c r="N19" s="76"/>
      <c r="O19" s="74">
        <f t="shared" si="0"/>
        <v>287</v>
      </c>
      <c r="P19" s="75"/>
      <c r="Q19" s="75"/>
      <c r="R19" s="76"/>
      <c r="S19" s="71" t="s">
        <v>42</v>
      </c>
      <c r="T19" s="72"/>
      <c r="U19" s="72"/>
      <c r="V19" s="72"/>
      <c r="W19" s="72"/>
      <c r="X19" s="72"/>
      <c r="Y19" s="72"/>
      <c r="Z19" s="73"/>
      <c r="AA19" s="74">
        <v>70</v>
      </c>
      <c r="AB19" s="75"/>
      <c r="AC19" s="75"/>
      <c r="AD19" s="76"/>
      <c r="AE19" s="74">
        <v>52</v>
      </c>
      <c r="AF19" s="75"/>
      <c r="AG19" s="75"/>
      <c r="AH19" s="76"/>
      <c r="AI19" s="74">
        <v>62</v>
      </c>
      <c r="AJ19" s="75"/>
      <c r="AK19" s="75"/>
      <c r="AL19" s="76"/>
      <c r="AM19" s="70">
        <f t="shared" si="1"/>
        <v>114</v>
      </c>
      <c r="AN19" s="70"/>
      <c r="AO19" s="70"/>
      <c r="AP19" s="70"/>
      <c r="AR19" s="7"/>
    </row>
    <row r="20" spans="2:47" s="6" customFormat="1" ht="22.5" customHeight="1" x14ac:dyDescent="0.4">
      <c r="B20" s="71" t="s">
        <v>41</v>
      </c>
      <c r="C20" s="72"/>
      <c r="D20" s="72"/>
      <c r="E20" s="73"/>
      <c r="F20" s="74">
        <v>77</v>
      </c>
      <c r="G20" s="75"/>
      <c r="H20" s="76"/>
      <c r="I20" s="74">
        <v>67</v>
      </c>
      <c r="J20" s="75"/>
      <c r="K20" s="76"/>
      <c r="L20" s="74">
        <v>62</v>
      </c>
      <c r="M20" s="75"/>
      <c r="N20" s="76"/>
      <c r="O20" s="74">
        <f t="shared" si="0"/>
        <v>129</v>
      </c>
      <c r="P20" s="75"/>
      <c r="Q20" s="75"/>
      <c r="R20" s="76"/>
      <c r="S20" s="71" t="s">
        <v>40</v>
      </c>
      <c r="T20" s="72"/>
      <c r="U20" s="72"/>
      <c r="V20" s="72"/>
      <c r="W20" s="72"/>
      <c r="X20" s="72"/>
      <c r="Y20" s="72"/>
      <c r="Z20" s="73"/>
      <c r="AA20" s="74">
        <v>113</v>
      </c>
      <c r="AB20" s="75"/>
      <c r="AC20" s="75"/>
      <c r="AD20" s="76"/>
      <c r="AE20" s="74">
        <v>97</v>
      </c>
      <c r="AF20" s="75"/>
      <c r="AG20" s="75"/>
      <c r="AH20" s="76"/>
      <c r="AI20" s="74">
        <v>128</v>
      </c>
      <c r="AJ20" s="75"/>
      <c r="AK20" s="75"/>
      <c r="AL20" s="76"/>
      <c r="AM20" s="70">
        <f t="shared" si="1"/>
        <v>225</v>
      </c>
      <c r="AN20" s="70"/>
      <c r="AO20" s="70"/>
      <c r="AP20" s="70"/>
      <c r="AR20" s="7"/>
    </row>
    <row r="21" spans="2:47" s="6" customFormat="1" ht="22.5" customHeight="1" x14ac:dyDescent="0.4">
      <c r="B21" s="71" t="s">
        <v>39</v>
      </c>
      <c r="C21" s="72"/>
      <c r="D21" s="72"/>
      <c r="E21" s="73"/>
      <c r="F21" s="74">
        <v>83</v>
      </c>
      <c r="G21" s="75"/>
      <c r="H21" s="76"/>
      <c r="I21" s="74">
        <v>46</v>
      </c>
      <c r="J21" s="75"/>
      <c r="K21" s="76"/>
      <c r="L21" s="74">
        <v>74</v>
      </c>
      <c r="M21" s="75"/>
      <c r="N21" s="76"/>
      <c r="O21" s="74">
        <f t="shared" si="0"/>
        <v>120</v>
      </c>
      <c r="P21" s="75"/>
      <c r="Q21" s="75"/>
      <c r="R21" s="76"/>
      <c r="S21" s="71" t="s">
        <v>38</v>
      </c>
      <c r="T21" s="72"/>
      <c r="U21" s="72"/>
      <c r="V21" s="72"/>
      <c r="W21" s="72"/>
      <c r="X21" s="72"/>
      <c r="Y21" s="72"/>
      <c r="Z21" s="73"/>
      <c r="AA21" s="74">
        <v>113</v>
      </c>
      <c r="AB21" s="75"/>
      <c r="AC21" s="75"/>
      <c r="AD21" s="76"/>
      <c r="AE21" s="74">
        <v>100</v>
      </c>
      <c r="AF21" s="75"/>
      <c r="AG21" s="75"/>
      <c r="AH21" s="76"/>
      <c r="AI21" s="74">
        <v>120</v>
      </c>
      <c r="AJ21" s="75"/>
      <c r="AK21" s="75"/>
      <c r="AL21" s="76"/>
      <c r="AM21" s="70">
        <f t="shared" si="1"/>
        <v>220</v>
      </c>
      <c r="AN21" s="70"/>
      <c r="AO21" s="70"/>
      <c r="AP21" s="70"/>
      <c r="AR21" s="7"/>
    </row>
    <row r="22" spans="2:47" s="6" customFormat="1" ht="22.5" customHeight="1" x14ac:dyDescent="0.4">
      <c r="B22" s="71" t="s">
        <v>37</v>
      </c>
      <c r="C22" s="72"/>
      <c r="D22" s="72"/>
      <c r="E22" s="73"/>
      <c r="F22" s="74">
        <v>37</v>
      </c>
      <c r="G22" s="75"/>
      <c r="H22" s="76"/>
      <c r="I22" s="74">
        <v>32</v>
      </c>
      <c r="J22" s="75"/>
      <c r="K22" s="76"/>
      <c r="L22" s="74">
        <v>33</v>
      </c>
      <c r="M22" s="75"/>
      <c r="N22" s="76"/>
      <c r="O22" s="74">
        <f t="shared" si="0"/>
        <v>65</v>
      </c>
      <c r="P22" s="75"/>
      <c r="Q22" s="75"/>
      <c r="R22" s="76"/>
      <c r="S22" s="71" t="s">
        <v>36</v>
      </c>
      <c r="T22" s="72"/>
      <c r="U22" s="72"/>
      <c r="V22" s="72"/>
      <c r="W22" s="72"/>
      <c r="X22" s="72"/>
      <c r="Y22" s="72"/>
      <c r="Z22" s="73"/>
      <c r="AA22" s="74">
        <v>246</v>
      </c>
      <c r="AB22" s="75"/>
      <c r="AC22" s="75"/>
      <c r="AD22" s="76"/>
      <c r="AE22" s="74">
        <v>249</v>
      </c>
      <c r="AF22" s="75"/>
      <c r="AG22" s="75"/>
      <c r="AH22" s="76"/>
      <c r="AI22" s="74">
        <v>291</v>
      </c>
      <c r="AJ22" s="75"/>
      <c r="AK22" s="75"/>
      <c r="AL22" s="76"/>
      <c r="AM22" s="70">
        <f t="shared" si="1"/>
        <v>540</v>
      </c>
      <c r="AN22" s="70"/>
      <c r="AO22" s="70"/>
      <c r="AP22" s="70"/>
      <c r="AR22" s="7"/>
    </row>
    <row r="23" spans="2:47" s="6" customFormat="1" ht="22.5" customHeight="1" x14ac:dyDescent="0.4">
      <c r="B23" s="71" t="s">
        <v>35</v>
      </c>
      <c r="C23" s="72"/>
      <c r="D23" s="72"/>
      <c r="E23" s="73"/>
      <c r="F23" s="74">
        <v>179</v>
      </c>
      <c r="G23" s="75"/>
      <c r="H23" s="76"/>
      <c r="I23" s="74">
        <v>162</v>
      </c>
      <c r="J23" s="75"/>
      <c r="K23" s="76"/>
      <c r="L23" s="74">
        <v>180</v>
      </c>
      <c r="M23" s="75"/>
      <c r="N23" s="76"/>
      <c r="O23" s="74">
        <f t="shared" si="0"/>
        <v>342</v>
      </c>
      <c r="P23" s="75"/>
      <c r="Q23" s="75"/>
      <c r="R23" s="76"/>
      <c r="S23" s="71" t="s">
        <v>34</v>
      </c>
      <c r="T23" s="72"/>
      <c r="U23" s="72"/>
      <c r="V23" s="72"/>
      <c r="W23" s="72"/>
      <c r="X23" s="72"/>
      <c r="Y23" s="72"/>
      <c r="Z23" s="73"/>
      <c r="AA23" s="74">
        <v>17</v>
      </c>
      <c r="AB23" s="75"/>
      <c r="AC23" s="75"/>
      <c r="AD23" s="76"/>
      <c r="AE23" s="74">
        <v>10</v>
      </c>
      <c r="AF23" s="75"/>
      <c r="AG23" s="75"/>
      <c r="AH23" s="76"/>
      <c r="AI23" s="74">
        <v>18</v>
      </c>
      <c r="AJ23" s="75"/>
      <c r="AK23" s="75"/>
      <c r="AL23" s="76"/>
      <c r="AM23" s="70">
        <f t="shared" si="1"/>
        <v>28</v>
      </c>
      <c r="AN23" s="70"/>
      <c r="AO23" s="70"/>
      <c r="AP23" s="70"/>
      <c r="AR23" s="7"/>
    </row>
    <row r="24" spans="2:47" s="6" customFormat="1" ht="22.5" customHeight="1" x14ac:dyDescent="0.4">
      <c r="B24" s="71" t="s">
        <v>33</v>
      </c>
      <c r="C24" s="72"/>
      <c r="D24" s="72"/>
      <c r="E24" s="73"/>
      <c r="F24" s="74">
        <v>224</v>
      </c>
      <c r="G24" s="75"/>
      <c r="H24" s="76"/>
      <c r="I24" s="74">
        <v>234</v>
      </c>
      <c r="J24" s="75"/>
      <c r="K24" s="76"/>
      <c r="L24" s="74">
        <v>234</v>
      </c>
      <c r="M24" s="75"/>
      <c r="N24" s="76"/>
      <c r="O24" s="74">
        <f t="shared" si="0"/>
        <v>468</v>
      </c>
      <c r="P24" s="75"/>
      <c r="Q24" s="75"/>
      <c r="R24" s="76"/>
      <c r="S24" s="71" t="s">
        <v>32</v>
      </c>
      <c r="T24" s="72"/>
      <c r="U24" s="72"/>
      <c r="V24" s="72"/>
      <c r="W24" s="72"/>
      <c r="X24" s="72"/>
      <c r="Y24" s="72"/>
      <c r="Z24" s="73"/>
      <c r="AA24" s="74">
        <v>142</v>
      </c>
      <c r="AB24" s="75"/>
      <c r="AC24" s="75"/>
      <c r="AD24" s="76"/>
      <c r="AE24" s="74">
        <v>124</v>
      </c>
      <c r="AF24" s="75"/>
      <c r="AG24" s="75"/>
      <c r="AH24" s="76"/>
      <c r="AI24" s="74">
        <v>132</v>
      </c>
      <c r="AJ24" s="75"/>
      <c r="AK24" s="75"/>
      <c r="AL24" s="76"/>
      <c r="AM24" s="70">
        <f t="shared" si="1"/>
        <v>256</v>
      </c>
      <c r="AN24" s="70"/>
      <c r="AO24" s="70"/>
      <c r="AP24" s="70"/>
      <c r="AR24" s="7"/>
    </row>
    <row r="25" spans="2:47" s="6" customFormat="1" ht="22.5" customHeight="1" x14ac:dyDescent="0.4">
      <c r="B25" s="71" t="s">
        <v>31</v>
      </c>
      <c r="C25" s="72"/>
      <c r="D25" s="72"/>
      <c r="E25" s="73"/>
      <c r="F25" s="74">
        <v>180</v>
      </c>
      <c r="G25" s="75"/>
      <c r="H25" s="76"/>
      <c r="I25" s="74">
        <v>162</v>
      </c>
      <c r="J25" s="75"/>
      <c r="K25" s="76"/>
      <c r="L25" s="74">
        <v>178</v>
      </c>
      <c r="M25" s="75"/>
      <c r="N25" s="76"/>
      <c r="O25" s="74">
        <f t="shared" si="0"/>
        <v>340</v>
      </c>
      <c r="P25" s="75"/>
      <c r="Q25" s="75"/>
      <c r="R25" s="76"/>
      <c r="S25" s="71" t="s">
        <v>30</v>
      </c>
      <c r="T25" s="72"/>
      <c r="U25" s="72"/>
      <c r="V25" s="72"/>
      <c r="W25" s="72"/>
      <c r="X25" s="72"/>
      <c r="Y25" s="72"/>
      <c r="Z25" s="73"/>
      <c r="AA25" s="74">
        <v>236</v>
      </c>
      <c r="AB25" s="75"/>
      <c r="AC25" s="75"/>
      <c r="AD25" s="76"/>
      <c r="AE25" s="74">
        <v>188</v>
      </c>
      <c r="AF25" s="75"/>
      <c r="AG25" s="75"/>
      <c r="AH25" s="76"/>
      <c r="AI25" s="74">
        <v>195</v>
      </c>
      <c r="AJ25" s="75"/>
      <c r="AK25" s="75"/>
      <c r="AL25" s="76"/>
      <c r="AM25" s="70">
        <f t="shared" si="1"/>
        <v>383</v>
      </c>
      <c r="AN25" s="70"/>
      <c r="AO25" s="70"/>
      <c r="AP25" s="70"/>
      <c r="AR25" s="7"/>
    </row>
    <row r="26" spans="2:47" s="6" customFormat="1" ht="22.5" customHeight="1" x14ac:dyDescent="0.4">
      <c r="B26" s="71" t="s">
        <v>29</v>
      </c>
      <c r="C26" s="72"/>
      <c r="D26" s="72"/>
      <c r="E26" s="73"/>
      <c r="F26" s="74">
        <v>168</v>
      </c>
      <c r="G26" s="75"/>
      <c r="H26" s="76"/>
      <c r="I26" s="74">
        <v>160</v>
      </c>
      <c r="J26" s="75"/>
      <c r="K26" s="76"/>
      <c r="L26" s="74">
        <v>179</v>
      </c>
      <c r="M26" s="75"/>
      <c r="N26" s="76"/>
      <c r="O26" s="74">
        <f t="shared" si="0"/>
        <v>339</v>
      </c>
      <c r="P26" s="75"/>
      <c r="Q26" s="75"/>
      <c r="R26" s="76"/>
      <c r="S26" s="71" t="s">
        <v>28</v>
      </c>
      <c r="T26" s="72"/>
      <c r="U26" s="72"/>
      <c r="V26" s="72"/>
      <c r="W26" s="72"/>
      <c r="X26" s="72"/>
      <c r="Y26" s="72"/>
      <c r="Z26" s="73"/>
      <c r="AA26" s="74">
        <v>154</v>
      </c>
      <c r="AB26" s="75"/>
      <c r="AC26" s="75"/>
      <c r="AD26" s="76"/>
      <c r="AE26" s="74">
        <v>135</v>
      </c>
      <c r="AF26" s="75"/>
      <c r="AG26" s="75"/>
      <c r="AH26" s="76"/>
      <c r="AI26" s="74">
        <v>152</v>
      </c>
      <c r="AJ26" s="75"/>
      <c r="AK26" s="75"/>
      <c r="AL26" s="76"/>
      <c r="AM26" s="70">
        <f t="shared" si="1"/>
        <v>287</v>
      </c>
      <c r="AN26" s="70"/>
      <c r="AO26" s="70"/>
      <c r="AP26" s="70"/>
      <c r="AR26" s="7"/>
    </row>
    <row r="27" spans="2:47" s="6" customFormat="1" ht="22.5" customHeight="1" x14ac:dyDescent="0.4">
      <c r="B27" s="71" t="s">
        <v>27</v>
      </c>
      <c r="C27" s="72"/>
      <c r="D27" s="72"/>
      <c r="E27" s="73"/>
      <c r="F27" s="74">
        <v>142</v>
      </c>
      <c r="G27" s="75"/>
      <c r="H27" s="76"/>
      <c r="I27" s="74">
        <v>125</v>
      </c>
      <c r="J27" s="75"/>
      <c r="K27" s="76"/>
      <c r="L27" s="74">
        <v>150</v>
      </c>
      <c r="M27" s="75"/>
      <c r="N27" s="76"/>
      <c r="O27" s="74">
        <f t="shared" si="0"/>
        <v>275</v>
      </c>
      <c r="P27" s="75"/>
      <c r="Q27" s="75"/>
      <c r="R27" s="76"/>
      <c r="S27" s="71" t="s">
        <v>26</v>
      </c>
      <c r="T27" s="72"/>
      <c r="U27" s="72"/>
      <c r="V27" s="72"/>
      <c r="W27" s="72"/>
      <c r="X27" s="72"/>
      <c r="Y27" s="72"/>
      <c r="Z27" s="73"/>
      <c r="AA27" s="74">
        <v>177</v>
      </c>
      <c r="AB27" s="75"/>
      <c r="AC27" s="75"/>
      <c r="AD27" s="76"/>
      <c r="AE27" s="74">
        <v>155</v>
      </c>
      <c r="AF27" s="75"/>
      <c r="AG27" s="75"/>
      <c r="AH27" s="76"/>
      <c r="AI27" s="74">
        <v>120</v>
      </c>
      <c r="AJ27" s="75"/>
      <c r="AK27" s="75"/>
      <c r="AL27" s="76"/>
      <c r="AM27" s="70">
        <f t="shared" si="1"/>
        <v>275</v>
      </c>
      <c r="AN27" s="70"/>
      <c r="AO27" s="70"/>
      <c r="AP27" s="70"/>
      <c r="AR27" s="7"/>
    </row>
    <row r="28" spans="2:47" s="6" customFormat="1" ht="22.5" customHeight="1" x14ac:dyDescent="0.4">
      <c r="B28" s="71" t="s">
        <v>25</v>
      </c>
      <c r="C28" s="72"/>
      <c r="D28" s="72"/>
      <c r="E28" s="73"/>
      <c r="F28" s="74">
        <v>58</v>
      </c>
      <c r="G28" s="75"/>
      <c r="H28" s="76"/>
      <c r="I28" s="74">
        <v>46</v>
      </c>
      <c r="J28" s="75"/>
      <c r="K28" s="76"/>
      <c r="L28" s="74">
        <v>57</v>
      </c>
      <c r="M28" s="75"/>
      <c r="N28" s="76"/>
      <c r="O28" s="74">
        <f t="shared" si="0"/>
        <v>103</v>
      </c>
      <c r="P28" s="75"/>
      <c r="Q28" s="75"/>
      <c r="R28" s="76"/>
      <c r="S28" s="71" t="s">
        <v>24</v>
      </c>
      <c r="T28" s="72"/>
      <c r="U28" s="72"/>
      <c r="V28" s="72"/>
      <c r="W28" s="72"/>
      <c r="X28" s="72"/>
      <c r="Y28" s="72"/>
      <c r="Z28" s="73"/>
      <c r="AA28" s="74">
        <v>207</v>
      </c>
      <c r="AB28" s="75"/>
      <c r="AC28" s="75"/>
      <c r="AD28" s="76"/>
      <c r="AE28" s="74">
        <v>179</v>
      </c>
      <c r="AF28" s="75"/>
      <c r="AG28" s="75"/>
      <c r="AH28" s="76"/>
      <c r="AI28" s="74">
        <v>205</v>
      </c>
      <c r="AJ28" s="75"/>
      <c r="AK28" s="75"/>
      <c r="AL28" s="76"/>
      <c r="AM28" s="70">
        <f t="shared" si="1"/>
        <v>384</v>
      </c>
      <c r="AN28" s="70"/>
      <c r="AO28" s="70"/>
      <c r="AP28" s="70"/>
      <c r="AR28" s="43"/>
      <c r="AS28" s="43" t="s">
        <v>23</v>
      </c>
      <c r="AT28" s="43" t="s">
        <v>22</v>
      </c>
      <c r="AU28" s="43" t="s">
        <v>4</v>
      </c>
    </row>
    <row r="29" spans="2:47" s="6" customFormat="1" ht="22.5" customHeight="1" x14ac:dyDescent="0.4">
      <c r="B29" s="71" t="s">
        <v>21</v>
      </c>
      <c r="C29" s="72"/>
      <c r="D29" s="72"/>
      <c r="E29" s="73"/>
      <c r="F29" s="74">
        <v>83</v>
      </c>
      <c r="G29" s="75"/>
      <c r="H29" s="76"/>
      <c r="I29" s="74">
        <v>69</v>
      </c>
      <c r="J29" s="75"/>
      <c r="K29" s="76"/>
      <c r="L29" s="74">
        <v>87</v>
      </c>
      <c r="M29" s="75"/>
      <c r="N29" s="76"/>
      <c r="O29" s="74">
        <f t="shared" si="0"/>
        <v>156</v>
      </c>
      <c r="P29" s="75"/>
      <c r="Q29" s="75"/>
      <c r="R29" s="76"/>
      <c r="S29" s="71" t="s">
        <v>20</v>
      </c>
      <c r="T29" s="72"/>
      <c r="U29" s="72"/>
      <c r="V29" s="72"/>
      <c r="W29" s="72"/>
      <c r="X29" s="72"/>
      <c r="Y29" s="72"/>
      <c r="Z29" s="73"/>
      <c r="AA29" s="74">
        <v>206</v>
      </c>
      <c r="AB29" s="75"/>
      <c r="AC29" s="75"/>
      <c r="AD29" s="76"/>
      <c r="AE29" s="74">
        <v>205</v>
      </c>
      <c r="AF29" s="75"/>
      <c r="AG29" s="75"/>
      <c r="AH29" s="76"/>
      <c r="AI29" s="74">
        <v>156</v>
      </c>
      <c r="AJ29" s="75"/>
      <c r="AK29" s="75"/>
      <c r="AL29" s="76"/>
      <c r="AM29" s="70">
        <f t="shared" si="1"/>
        <v>361</v>
      </c>
      <c r="AN29" s="70"/>
      <c r="AO29" s="70"/>
      <c r="AP29" s="70"/>
      <c r="AR29" s="43" t="s">
        <v>8</v>
      </c>
      <c r="AS29" s="9">
        <f>AE31</f>
        <v>11707</v>
      </c>
      <c r="AT29" s="9">
        <v>4322</v>
      </c>
      <c r="AU29" s="8">
        <f>IF(OR(AS29=0,AT29=0),"",ROUNDDOWN(AT29/AS29,4))</f>
        <v>0.36909999999999998</v>
      </c>
    </row>
    <row r="30" spans="2:47" s="6" customFormat="1" ht="22.5" customHeight="1" x14ac:dyDescent="0.4">
      <c r="B30" s="71" t="s">
        <v>19</v>
      </c>
      <c r="C30" s="72"/>
      <c r="D30" s="72"/>
      <c r="E30" s="73"/>
      <c r="F30" s="74">
        <v>1466</v>
      </c>
      <c r="G30" s="75"/>
      <c r="H30" s="76"/>
      <c r="I30" s="74">
        <v>1468</v>
      </c>
      <c r="J30" s="75"/>
      <c r="K30" s="76"/>
      <c r="L30" s="74">
        <v>1627</v>
      </c>
      <c r="M30" s="75"/>
      <c r="N30" s="76"/>
      <c r="O30" s="74">
        <f t="shared" si="0"/>
        <v>3095</v>
      </c>
      <c r="P30" s="75"/>
      <c r="Q30" s="75"/>
      <c r="R30" s="76"/>
      <c r="S30" s="71" t="s">
        <v>18</v>
      </c>
      <c r="T30" s="72"/>
      <c r="U30" s="72"/>
      <c r="V30" s="72"/>
      <c r="W30" s="72"/>
      <c r="X30" s="72"/>
      <c r="Y30" s="72"/>
      <c r="Z30" s="73"/>
      <c r="AA30" s="74">
        <v>40</v>
      </c>
      <c r="AB30" s="75"/>
      <c r="AC30" s="75"/>
      <c r="AD30" s="76"/>
      <c r="AE30" s="74">
        <v>40</v>
      </c>
      <c r="AF30" s="75"/>
      <c r="AG30" s="75"/>
      <c r="AH30" s="76"/>
      <c r="AI30" s="74">
        <v>47</v>
      </c>
      <c r="AJ30" s="75"/>
      <c r="AK30" s="75"/>
      <c r="AL30" s="76"/>
      <c r="AM30" s="70">
        <f t="shared" si="1"/>
        <v>87</v>
      </c>
      <c r="AN30" s="70"/>
      <c r="AO30" s="70"/>
      <c r="AP30" s="70"/>
      <c r="AR30" s="43" t="s">
        <v>6</v>
      </c>
      <c r="AS30" s="9">
        <f>AI31</f>
        <v>12831</v>
      </c>
      <c r="AT30" s="9">
        <v>5821</v>
      </c>
      <c r="AU30" s="8">
        <f>IF(OR(AS30=0,AT30=0),"",ROUNDDOWN(AT30/AS30,4))</f>
        <v>0.4536</v>
      </c>
    </row>
    <row r="31" spans="2:47" s="6" customFormat="1" ht="22.5" customHeight="1" x14ac:dyDescent="0.4">
      <c r="B31" s="71" t="s">
        <v>17</v>
      </c>
      <c r="C31" s="72"/>
      <c r="D31" s="72"/>
      <c r="E31" s="73"/>
      <c r="F31" s="74">
        <v>538</v>
      </c>
      <c r="G31" s="75"/>
      <c r="H31" s="76"/>
      <c r="I31" s="74">
        <v>556</v>
      </c>
      <c r="J31" s="75"/>
      <c r="K31" s="76"/>
      <c r="L31" s="74">
        <v>584</v>
      </c>
      <c r="M31" s="75"/>
      <c r="N31" s="76"/>
      <c r="O31" s="74">
        <f t="shared" si="0"/>
        <v>1140</v>
      </c>
      <c r="P31" s="75"/>
      <c r="Q31" s="75"/>
      <c r="R31" s="76"/>
      <c r="S31" s="71" t="s">
        <v>16</v>
      </c>
      <c r="T31" s="72"/>
      <c r="U31" s="72"/>
      <c r="V31" s="72"/>
      <c r="W31" s="72"/>
      <c r="X31" s="72"/>
      <c r="Y31" s="72"/>
      <c r="Z31" s="73"/>
      <c r="AA31" s="74">
        <f>SUM(F8:H32,AA8:AD30)</f>
        <v>12205</v>
      </c>
      <c r="AB31" s="75"/>
      <c r="AC31" s="75"/>
      <c r="AD31" s="76"/>
      <c r="AE31" s="74">
        <f>SUM(I8:K32,AE8:AH30)</f>
        <v>11707</v>
      </c>
      <c r="AF31" s="75"/>
      <c r="AG31" s="75"/>
      <c r="AH31" s="76"/>
      <c r="AI31" s="74">
        <f>SUM(L8:N32,AI8:AL30)</f>
        <v>12831</v>
      </c>
      <c r="AJ31" s="75"/>
      <c r="AK31" s="75"/>
      <c r="AL31" s="76"/>
      <c r="AM31" s="70">
        <f t="shared" si="1"/>
        <v>24538</v>
      </c>
      <c r="AN31" s="70"/>
      <c r="AO31" s="70"/>
      <c r="AP31" s="70"/>
      <c r="AR31" s="43" t="s">
        <v>15</v>
      </c>
      <c r="AS31" s="9">
        <f>AM31</f>
        <v>24538</v>
      </c>
      <c r="AT31" s="9">
        <f>AT29+AT30</f>
        <v>10143</v>
      </c>
      <c r="AU31" s="8">
        <f>IF(OR(AS31=0,AT31=0),"",ROUNDDOWN(AT31/AS31,4))</f>
        <v>0.4133</v>
      </c>
    </row>
    <row r="32" spans="2:47" s="6" customFormat="1" ht="22.5" customHeight="1" x14ac:dyDescent="0.4">
      <c r="B32" s="64" t="s">
        <v>14</v>
      </c>
      <c r="C32" s="65"/>
      <c r="D32" s="65"/>
      <c r="E32" s="66"/>
      <c r="F32" s="67">
        <v>441</v>
      </c>
      <c r="G32" s="68"/>
      <c r="H32" s="69"/>
      <c r="I32" s="67">
        <v>412</v>
      </c>
      <c r="J32" s="68"/>
      <c r="K32" s="69"/>
      <c r="L32" s="67">
        <v>451</v>
      </c>
      <c r="M32" s="68"/>
      <c r="N32" s="69"/>
      <c r="O32" s="67">
        <f t="shared" si="0"/>
        <v>863</v>
      </c>
      <c r="P32" s="68"/>
      <c r="Q32" s="68"/>
      <c r="R32" s="69"/>
      <c r="S32" s="64"/>
      <c r="T32" s="65"/>
      <c r="U32" s="65"/>
      <c r="V32" s="65"/>
      <c r="W32" s="65"/>
      <c r="X32" s="65"/>
      <c r="Y32" s="65"/>
      <c r="Z32" s="66"/>
      <c r="AA32" s="67"/>
      <c r="AB32" s="68"/>
      <c r="AC32" s="68"/>
      <c r="AD32" s="69"/>
      <c r="AE32" s="67"/>
      <c r="AF32" s="68"/>
      <c r="AG32" s="68"/>
      <c r="AH32" s="69"/>
      <c r="AI32" s="59"/>
      <c r="AJ32" s="59"/>
      <c r="AK32" s="59"/>
      <c r="AL32" s="59"/>
      <c r="AM32" s="59"/>
      <c r="AN32" s="59"/>
      <c r="AO32" s="59"/>
      <c r="AP32" s="59"/>
      <c r="AR32" s="7"/>
    </row>
    <row r="33" spans="3:39" ht="15.75" customHeight="1" x14ac:dyDescent="0.4"/>
    <row r="34" spans="3:39" ht="18.75" customHeight="1" x14ac:dyDescent="0.4">
      <c r="D34" s="41" t="s">
        <v>12</v>
      </c>
      <c r="E34" s="60">
        <f>AM31-24566</f>
        <v>-28</v>
      </c>
      <c r="F34" s="60"/>
      <c r="G34" s="1" t="s">
        <v>0</v>
      </c>
      <c r="L34" s="1" t="s">
        <v>11</v>
      </c>
      <c r="O34" s="61">
        <f>AM31-25117</f>
        <v>-579</v>
      </c>
      <c r="P34" s="61"/>
      <c r="Q34" s="61"/>
      <c r="R34" s="61"/>
      <c r="S34" s="1" t="s">
        <v>0</v>
      </c>
      <c r="AG34" s="41" t="s">
        <v>13</v>
      </c>
      <c r="AH34" s="62">
        <f>AT31</f>
        <v>10143</v>
      </c>
      <c r="AI34" s="62"/>
      <c r="AJ34" s="62"/>
      <c r="AK34" s="62"/>
      <c r="AL34" s="62"/>
      <c r="AM34" s="1" t="s">
        <v>0</v>
      </c>
    </row>
    <row r="35" spans="3:39" ht="6" customHeight="1" x14ac:dyDescent="0.4"/>
    <row r="36" spans="3:39" ht="18.75" customHeight="1" x14ac:dyDescent="0.4">
      <c r="D36" s="41" t="s">
        <v>12</v>
      </c>
      <c r="E36" s="61">
        <f>AA31-12218</f>
        <v>-13</v>
      </c>
      <c r="F36" s="61"/>
      <c r="G36" s="1" t="s">
        <v>10</v>
      </c>
      <c r="L36" s="1" t="s">
        <v>11</v>
      </c>
      <c r="O36" s="61">
        <f>AA31-12317</f>
        <v>-112</v>
      </c>
      <c r="P36" s="61"/>
      <c r="Q36" s="61"/>
      <c r="R36" s="61"/>
      <c r="S36" s="1" t="s">
        <v>10</v>
      </c>
      <c r="Y36" s="1" t="s">
        <v>9</v>
      </c>
      <c r="AG36" s="41" t="s">
        <v>8</v>
      </c>
      <c r="AH36" s="62">
        <f>AT29</f>
        <v>4322</v>
      </c>
      <c r="AI36" s="62"/>
      <c r="AJ36" s="62"/>
      <c r="AK36" s="62"/>
      <c r="AL36" s="62"/>
      <c r="AM36" s="1" t="s">
        <v>0</v>
      </c>
    </row>
    <row r="37" spans="3:39" ht="6" customHeight="1" x14ac:dyDescent="0.4">
      <c r="AG37" s="41"/>
    </row>
    <row r="38" spans="3:39" ht="18.75" customHeight="1" x14ac:dyDescent="0.4">
      <c r="C38" s="42" t="s">
        <v>7</v>
      </c>
      <c r="AG38" s="41" t="s">
        <v>6</v>
      </c>
      <c r="AH38" s="62">
        <f>AT30</f>
        <v>5821</v>
      </c>
      <c r="AI38" s="62"/>
      <c r="AJ38" s="62"/>
      <c r="AK38" s="62"/>
      <c r="AL38" s="62"/>
      <c r="AM38" s="1" t="s">
        <v>0</v>
      </c>
    </row>
    <row r="39" spans="3:39" ht="6" customHeight="1" x14ac:dyDescent="0.4">
      <c r="AG39" s="41"/>
    </row>
    <row r="40" spans="3:39" ht="18.75" customHeight="1" x14ac:dyDescent="0.4">
      <c r="C40" s="4" t="s">
        <v>5</v>
      </c>
      <c r="AG40" s="41" t="s">
        <v>4</v>
      </c>
      <c r="AH40" s="63">
        <f>IF(OR(AH34=0,AM31=0),"",ROUNDDOWN(AH34/AM31*100,2))</f>
        <v>41.33</v>
      </c>
      <c r="AI40" s="63"/>
      <c r="AJ40" s="63"/>
      <c r="AK40" s="63"/>
      <c r="AL40" s="63"/>
      <c r="AM40" s="1" t="s">
        <v>3</v>
      </c>
    </row>
    <row r="42" spans="3:39" x14ac:dyDescent="0.4">
      <c r="C42" s="1" t="s">
        <v>2</v>
      </c>
      <c r="G42" s="57">
        <v>12</v>
      </c>
      <c r="H42" s="57"/>
      <c r="I42" s="1" t="s">
        <v>0</v>
      </c>
      <c r="L42" s="1" t="s">
        <v>1</v>
      </c>
      <c r="T42" s="57">
        <v>39</v>
      </c>
      <c r="U42" s="57"/>
      <c r="V42" s="1" t="s">
        <v>0</v>
      </c>
    </row>
  </sheetData>
  <mergeCells count="286">
    <mergeCell ref="S3:V3"/>
    <mergeCell ref="W3:X3"/>
    <mergeCell ref="Z3:AC3"/>
    <mergeCell ref="AD3:AE3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M5"/>
    <mergeCell ref="AN5:AP5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1:AP31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S31:Z31"/>
    <mergeCell ref="AA31:AD31"/>
    <mergeCell ref="AE31:AH31"/>
    <mergeCell ref="AI31:AL31"/>
    <mergeCell ref="G42:H42"/>
    <mergeCell ref="T42:U42"/>
    <mergeCell ref="AM32:AP32"/>
    <mergeCell ref="E34:F34"/>
    <mergeCell ref="O34:R34"/>
    <mergeCell ref="AH34:AL34"/>
    <mergeCell ref="E36:F36"/>
    <mergeCell ref="O36:R36"/>
    <mergeCell ref="AH36:AL36"/>
    <mergeCell ref="AH38:AL38"/>
    <mergeCell ref="AH40:AL40"/>
    <mergeCell ref="B32:E32"/>
    <mergeCell ref="F32:H32"/>
    <mergeCell ref="I32:K32"/>
    <mergeCell ref="L32:N32"/>
    <mergeCell ref="O32:R32"/>
    <mergeCell ref="S32:Z32"/>
    <mergeCell ref="AA32:AD32"/>
    <mergeCell ref="AE32:AH32"/>
    <mergeCell ref="AI32:AL32"/>
  </mergeCells>
  <phoneticPr fontId="3"/>
  <printOptions horizontalCentered="1"/>
  <pageMargins left="0.78740157480314965" right="0.78740157480314965" top="0.98425196850393692" bottom="0.98425196850393692" header="0.51181102362204722" footer="0.51181102362204722"/>
  <pageSetup paperSize="9" scale="92" orientation="portrait" r:id="rId1"/>
  <headerFooter alignWithMargins="0"/>
  <colBreaks count="1" manualBreakCount="1">
    <brk id="4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R2.4</vt:lpstr>
      <vt:lpstr>R2.5</vt:lpstr>
      <vt:lpstr>R2.6</vt:lpstr>
      <vt:lpstr>R2.7</vt:lpstr>
      <vt:lpstr>R2.8</vt:lpstr>
      <vt:lpstr>R2.9</vt:lpstr>
      <vt:lpstr>R2.10</vt:lpstr>
      <vt:lpstr>Ｒ2.11</vt:lpstr>
      <vt:lpstr>Ｒ2.12</vt:lpstr>
      <vt:lpstr>R3.1</vt:lpstr>
      <vt:lpstr>R3.2</vt:lpstr>
      <vt:lpstr>R3.3</vt:lpstr>
      <vt:lpstr>R2.10!Print_Area</vt:lpstr>
      <vt:lpstr>Ｒ2.11!Print_Area</vt:lpstr>
      <vt:lpstr>Ｒ2.12!Print_Area</vt:lpstr>
      <vt:lpstr>R2.4!Print_Area</vt:lpstr>
      <vt:lpstr>R2.5!Print_Area</vt:lpstr>
      <vt:lpstr>R2.6!Print_Area</vt:lpstr>
      <vt:lpstr>R2.7!Print_Area</vt:lpstr>
      <vt:lpstr>R2.8!Print_Area</vt:lpstr>
      <vt:lpstr>R2.9!Print_Area</vt:lpstr>
      <vt:lpstr>R3.1!Print_Area</vt:lpstr>
      <vt:lpstr>R3.2!Print_Area</vt:lpstr>
      <vt:lpstr>R3.3!Print_Area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竹原市</cp:lastModifiedBy>
  <cp:lastPrinted>2021-03-09T00:11:09Z</cp:lastPrinted>
  <dcterms:created xsi:type="dcterms:W3CDTF">2020-05-15T01:20:25Z</dcterms:created>
  <dcterms:modified xsi:type="dcterms:W3CDTF">2021-04-21T08:47:23Z</dcterms:modified>
</cp:coreProperties>
</file>